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filterPrivacy="1" autoCompressPictures="0"/>
  <bookViews>
    <workbookView xWindow="0" yWindow="0" windowWidth="25600" windowHeight="14100" activeTab="1"/>
  </bookViews>
  <sheets>
    <sheet name="Üldandmed" sheetId="1" r:id="rId1"/>
    <sheet name="Versioon 1" sheetId="2" r:id="rId2"/>
    <sheet name="Versioon 2" sheetId="3" r:id="rId3"/>
    <sheet name="Versioon 3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6" i="4" l="1"/>
  <c r="M4" i="2"/>
  <c r="M25" i="2"/>
  <c r="M12" i="3"/>
  <c r="M17" i="3"/>
  <c r="M21" i="3"/>
  <c r="M25" i="3"/>
  <c r="M4" i="3"/>
  <c r="H2" i="4"/>
  <c r="H4" i="4"/>
  <c r="B4" i="4"/>
  <c r="B13" i="4"/>
  <c r="B18" i="4"/>
  <c r="B22" i="4"/>
  <c r="B9" i="4"/>
  <c r="B26" i="4"/>
  <c r="I2" i="4"/>
  <c r="I4" i="4"/>
  <c r="C4" i="4"/>
  <c r="C13" i="4"/>
  <c r="C18" i="4"/>
  <c r="C22" i="4"/>
  <c r="C9" i="4"/>
  <c r="C26" i="4"/>
  <c r="J2" i="4"/>
  <c r="J4" i="4"/>
  <c r="D4" i="4"/>
  <c r="D13" i="4"/>
  <c r="D18" i="4"/>
  <c r="D22" i="4"/>
  <c r="D9" i="4"/>
  <c r="D26" i="4"/>
  <c r="E26" i="4"/>
  <c r="E5" i="4"/>
  <c r="F5" i="4"/>
  <c r="G5" i="4"/>
  <c r="E6" i="4"/>
  <c r="F6" i="4"/>
  <c r="G6" i="4"/>
  <c r="E7" i="4"/>
  <c r="F7" i="4"/>
  <c r="G7" i="4"/>
  <c r="E8" i="4"/>
  <c r="F8" i="4"/>
  <c r="G8" i="4"/>
  <c r="G4" i="4"/>
  <c r="E14" i="4"/>
  <c r="F14" i="4"/>
  <c r="G14" i="4"/>
  <c r="E15" i="4"/>
  <c r="F15" i="4"/>
  <c r="G15" i="4"/>
  <c r="E16" i="4"/>
  <c r="F16" i="4"/>
  <c r="G16" i="4"/>
  <c r="E17" i="4"/>
  <c r="F17" i="4"/>
  <c r="G17" i="4"/>
  <c r="G13" i="4"/>
  <c r="E19" i="4"/>
  <c r="F19" i="4"/>
  <c r="G19" i="4"/>
  <c r="E20" i="4"/>
  <c r="F20" i="4"/>
  <c r="G20" i="4"/>
  <c r="E21" i="4"/>
  <c r="F21" i="4"/>
  <c r="G21" i="4"/>
  <c r="G18" i="4"/>
  <c r="E23" i="4"/>
  <c r="F23" i="4"/>
  <c r="G23" i="4"/>
  <c r="E24" i="4"/>
  <c r="F24" i="4"/>
  <c r="G24" i="4"/>
  <c r="E25" i="4"/>
  <c r="F25" i="4"/>
  <c r="G25" i="4"/>
  <c r="G22" i="4"/>
  <c r="E10" i="4"/>
  <c r="F10" i="4"/>
  <c r="G10" i="4"/>
  <c r="E11" i="4"/>
  <c r="F11" i="4"/>
  <c r="G11" i="4"/>
  <c r="E12" i="4"/>
  <c r="F12" i="4"/>
  <c r="G12" i="4"/>
  <c r="G9" i="4"/>
  <c r="G26" i="4"/>
  <c r="K2" i="4"/>
  <c r="K4" i="4"/>
  <c r="L4" i="4"/>
  <c r="H13" i="4"/>
  <c r="I13" i="4"/>
  <c r="J13" i="4"/>
  <c r="K13" i="4"/>
  <c r="L13" i="4"/>
  <c r="H18" i="4"/>
  <c r="I18" i="4"/>
  <c r="J18" i="4"/>
  <c r="K18" i="4"/>
  <c r="L18" i="4"/>
  <c r="H22" i="4"/>
  <c r="I22" i="4"/>
  <c r="J22" i="4"/>
  <c r="K22" i="4"/>
  <c r="L22" i="4"/>
  <c r="H9" i="4"/>
  <c r="I9" i="4"/>
  <c r="J9" i="4"/>
  <c r="K9" i="4"/>
  <c r="L9" i="4"/>
  <c r="L26" i="4"/>
  <c r="K26" i="4"/>
  <c r="J26" i="4"/>
  <c r="I26" i="4"/>
  <c r="H26" i="4"/>
  <c r="F26" i="4"/>
  <c r="M22" i="4"/>
  <c r="E22" i="4"/>
  <c r="F22" i="4"/>
  <c r="M18" i="4"/>
  <c r="E18" i="4"/>
  <c r="F18" i="4"/>
  <c r="M13" i="4"/>
  <c r="E13" i="4"/>
  <c r="F13" i="4"/>
  <c r="M9" i="4"/>
  <c r="E9" i="4"/>
  <c r="F9" i="4"/>
  <c r="M4" i="4"/>
  <c r="E4" i="4"/>
  <c r="F4" i="4"/>
  <c r="L2" i="4"/>
  <c r="L1" i="4"/>
  <c r="M19" i="2"/>
  <c r="M15" i="2"/>
  <c r="M10" i="2"/>
  <c r="D4" i="2"/>
  <c r="D10" i="2"/>
  <c r="D15" i="2"/>
  <c r="D19" i="2"/>
  <c r="D25" i="2"/>
  <c r="B4" i="2"/>
  <c r="B10" i="2"/>
  <c r="B15" i="2"/>
  <c r="B19" i="2"/>
  <c r="B25" i="2"/>
  <c r="E25" i="2"/>
  <c r="E5" i="2"/>
  <c r="F5" i="2"/>
  <c r="G5" i="2"/>
  <c r="E6" i="2"/>
  <c r="F6" i="2"/>
  <c r="G6" i="2"/>
  <c r="E7" i="2"/>
  <c r="F7" i="2"/>
  <c r="G7" i="2"/>
  <c r="E8" i="2"/>
  <c r="F8" i="2"/>
  <c r="G8" i="2"/>
  <c r="E9" i="2"/>
  <c r="F9" i="2"/>
  <c r="G9" i="2"/>
  <c r="G4" i="2"/>
  <c r="E11" i="2"/>
  <c r="F11" i="2"/>
  <c r="G11" i="2"/>
  <c r="E12" i="2"/>
  <c r="F12" i="2"/>
  <c r="G12" i="2"/>
  <c r="E13" i="2"/>
  <c r="F13" i="2"/>
  <c r="G13" i="2"/>
  <c r="E14" i="2"/>
  <c r="F14" i="2"/>
  <c r="G14" i="2"/>
  <c r="G10" i="2"/>
  <c r="E16" i="2"/>
  <c r="F16" i="2"/>
  <c r="G16" i="2"/>
  <c r="E17" i="2"/>
  <c r="F17" i="2"/>
  <c r="G17" i="2"/>
  <c r="E18" i="2"/>
  <c r="F18" i="2"/>
  <c r="G18" i="2"/>
  <c r="G15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G19" i="2"/>
  <c r="G25" i="2"/>
  <c r="K2" i="2"/>
  <c r="K4" i="2"/>
  <c r="K10" i="2"/>
  <c r="K15" i="2"/>
  <c r="K19" i="2"/>
  <c r="K25" i="2"/>
  <c r="E19" i="2"/>
  <c r="F19" i="2"/>
  <c r="E15" i="2"/>
  <c r="F15" i="2"/>
  <c r="E10" i="2"/>
  <c r="F10" i="2"/>
  <c r="E4" i="2"/>
  <c r="F4" i="2"/>
  <c r="H2" i="3"/>
  <c r="H21" i="3"/>
  <c r="B21" i="3"/>
  <c r="B4" i="3"/>
  <c r="B12" i="3"/>
  <c r="B17" i="3"/>
  <c r="B25" i="3"/>
  <c r="I2" i="3"/>
  <c r="I21" i="3"/>
  <c r="C21" i="3"/>
  <c r="C4" i="3"/>
  <c r="C12" i="3"/>
  <c r="C17" i="3"/>
  <c r="C25" i="3"/>
  <c r="J2" i="3"/>
  <c r="J21" i="3"/>
  <c r="D4" i="3"/>
  <c r="D12" i="3"/>
  <c r="D17" i="3"/>
  <c r="D21" i="3"/>
  <c r="D25" i="3"/>
  <c r="E25" i="3"/>
  <c r="E22" i="3"/>
  <c r="F22" i="3"/>
  <c r="G22" i="3"/>
  <c r="E23" i="3"/>
  <c r="F23" i="3"/>
  <c r="G23" i="3"/>
  <c r="E24" i="3"/>
  <c r="F24" i="3"/>
  <c r="G24" i="3"/>
  <c r="G21" i="3"/>
  <c r="E5" i="3"/>
  <c r="F5" i="3"/>
  <c r="G5" i="3"/>
  <c r="E6" i="3"/>
  <c r="F6" i="3"/>
  <c r="G6" i="3"/>
  <c r="E7" i="3"/>
  <c r="F7" i="3"/>
  <c r="G7" i="3"/>
  <c r="E8" i="3"/>
  <c r="F8" i="3"/>
  <c r="G8" i="3"/>
  <c r="E9" i="3"/>
  <c r="F9" i="3"/>
  <c r="G9" i="3"/>
  <c r="E10" i="3"/>
  <c r="F10" i="3"/>
  <c r="G10" i="3"/>
  <c r="E11" i="3"/>
  <c r="F11" i="3"/>
  <c r="G11" i="3"/>
  <c r="G4" i="3"/>
  <c r="E13" i="3"/>
  <c r="F13" i="3"/>
  <c r="G13" i="3"/>
  <c r="E14" i="3"/>
  <c r="F14" i="3"/>
  <c r="G14" i="3"/>
  <c r="E15" i="3"/>
  <c r="F15" i="3"/>
  <c r="G15" i="3"/>
  <c r="E16" i="3"/>
  <c r="F16" i="3"/>
  <c r="G16" i="3"/>
  <c r="G12" i="3"/>
  <c r="E18" i="3"/>
  <c r="F18" i="3"/>
  <c r="G18" i="3"/>
  <c r="E19" i="3"/>
  <c r="F19" i="3"/>
  <c r="G19" i="3"/>
  <c r="E20" i="3"/>
  <c r="F20" i="3"/>
  <c r="G20" i="3"/>
  <c r="G17" i="3"/>
  <c r="G25" i="3"/>
  <c r="K2" i="3"/>
  <c r="K21" i="3"/>
  <c r="L21" i="3"/>
  <c r="H17" i="3"/>
  <c r="I17" i="3"/>
  <c r="J17" i="3"/>
  <c r="K17" i="3"/>
  <c r="L17" i="3"/>
  <c r="K12" i="3"/>
  <c r="J12" i="3"/>
  <c r="I12" i="3"/>
  <c r="H12" i="3"/>
  <c r="L12" i="3"/>
  <c r="K4" i="3"/>
  <c r="J4" i="3"/>
  <c r="I4" i="3"/>
  <c r="H2" i="2"/>
  <c r="H19" i="2"/>
  <c r="I2" i="2"/>
  <c r="I19" i="2"/>
  <c r="C19" i="2"/>
  <c r="C4" i="2"/>
  <c r="C10" i="2"/>
  <c r="C15" i="2"/>
  <c r="C25" i="2"/>
  <c r="J2" i="2"/>
  <c r="J19" i="2"/>
  <c r="L19" i="2"/>
  <c r="H15" i="2"/>
  <c r="I15" i="2"/>
  <c r="J15" i="2"/>
  <c r="L15" i="2"/>
  <c r="H10" i="2"/>
  <c r="I10" i="2"/>
  <c r="J10" i="2"/>
  <c r="L10" i="2"/>
  <c r="J4" i="2"/>
  <c r="I4" i="2"/>
  <c r="E17" i="3"/>
  <c r="L1" i="3"/>
  <c r="H4" i="2"/>
  <c r="L1" i="2"/>
  <c r="E4" i="3"/>
  <c r="E12" i="3"/>
  <c r="E21" i="3"/>
  <c r="H4" i="3"/>
  <c r="L2" i="3"/>
  <c r="L2" i="2"/>
  <c r="H25" i="2"/>
  <c r="F25" i="2"/>
  <c r="J25" i="2"/>
  <c r="L4" i="2"/>
  <c r="I25" i="2"/>
  <c r="I25" i="3"/>
  <c r="H25" i="3"/>
  <c r="L25" i="2"/>
  <c r="F17" i="3"/>
  <c r="F12" i="3"/>
  <c r="F21" i="3"/>
  <c r="F4" i="3"/>
  <c r="F25" i="3"/>
  <c r="J25" i="3"/>
  <c r="L4" i="3"/>
  <c r="L25" i="3"/>
  <c r="K25" i="3"/>
</calcChain>
</file>

<file path=xl/sharedStrings.xml><?xml version="1.0" encoding="utf-8"?>
<sst xmlns="http://schemas.openxmlformats.org/spreadsheetml/2006/main" count="135" uniqueCount="46">
  <si>
    <t>Omavalitsus</t>
  </si>
  <si>
    <t>Tulumaksu laekumine 2013</t>
  </si>
  <si>
    <t>Rahavaarv 01.01.2014</t>
  </si>
  <si>
    <t>Alatskivi</t>
  </si>
  <si>
    <t>Haaslava</t>
  </si>
  <si>
    <t>Kambja</t>
  </si>
  <si>
    <t>Konguta</t>
  </si>
  <si>
    <t>Laeva</t>
  </si>
  <si>
    <t>Luunja</t>
  </si>
  <si>
    <t>Meeksi</t>
  </si>
  <si>
    <t>Mäksa</t>
  </si>
  <si>
    <t>Nõo</t>
  </si>
  <si>
    <t>Peipsiääre</t>
  </si>
  <si>
    <t>Piirissaare</t>
  </si>
  <si>
    <t>Puhja</t>
  </si>
  <si>
    <t>Rannu</t>
  </si>
  <si>
    <t>Rõngu</t>
  </si>
  <si>
    <t>Tähtvere</t>
  </si>
  <si>
    <t>Vara</t>
  </si>
  <si>
    <t>Võnnu</t>
  </si>
  <si>
    <t>Ülenurme</t>
  </si>
  <si>
    <t>Pindala
august 2011</t>
  </si>
  <si>
    <t>Tartu v.</t>
  </si>
  <si>
    <t>Tartu l.</t>
  </si>
  <si>
    <t>Kallaste</t>
  </si>
  <si>
    <t>Elva</t>
  </si>
  <si>
    <t>Elva puhkepiirkond</t>
  </si>
  <si>
    <t xml:space="preserve">Sibulatee </t>
  </si>
  <si>
    <t>Lõuna-Tartumaa turismitee</t>
  </si>
  <si>
    <t>KOKKU</t>
  </si>
  <si>
    <t>Jagatav rahasumma</t>
  </si>
  <si>
    <t>Fikseeritud summa</t>
  </si>
  <si>
    <t>Pindala summa</t>
  </si>
  <si>
    <t>Koefitsendid:</t>
  </si>
  <si>
    <t>Rahvaarvu summa</t>
  </si>
  <si>
    <t>TM elaniku kohta</t>
  </si>
  <si>
    <t>TM kordaja</t>
  </si>
  <si>
    <t>Tulumaksu alusel summa</t>
  </si>
  <si>
    <t>Elanike arv TM koefitsendiga</t>
  </si>
  <si>
    <t>Geopargi ala</t>
  </si>
  <si>
    <t xml:space="preserve">Muuseumitee (Vooremäe) </t>
  </si>
  <si>
    <t>Muuseumitee (Vooremäe)</t>
  </si>
  <si>
    <t xml:space="preserve">Pindala
</t>
  </si>
  <si>
    <t>In kohta</t>
  </si>
  <si>
    <t>Sibulatee</t>
  </si>
  <si>
    <t>Põhja-Tartu /geopark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</si>
</sst>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#,##0.000"/>
    <numFmt numFmtId="166" formatCode="_-* #,##0.00\ [$€-425]_-;\-* #,##0.00\ [$€-425]_-;_-* &quot;-&quot;??\ [$€-425]_-;_-@_-"/>
    <numFmt numFmtId="167" formatCode="_-* #,##0\ [$€-425]_-;\-* #,##0\ [$€-425]_-;_-* &quot;-&quot;??\ [$€-425]_-;_-@_-"/>
    <numFmt numFmtId="168" formatCode="_-* #,##0\ &quot;€&quot;_-;\-* #,##0\ &quot;€&quot;_-;_-* &quot;-&quot;??\ &quot;€&quot;_-;_-@_-"/>
    <numFmt numFmtId="169" formatCode="_(* #,##0_);_(* \(#,##0\);_(* &quot;-&quot;??_);_(@_)"/>
    <numFmt numFmtId="170" formatCode="[$EUR]\ #,##0.0"/>
    <numFmt numFmtId="171" formatCode="_ * #,##0.00_)[$€-462]_ ;_ * \(#,##0.00\)[$€-462]_ ;_ * &quot;-&quot;??_)[$€-462]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charset val="186"/>
    </font>
    <font>
      <sz val="10"/>
      <name val="Arial"/>
      <family val="2"/>
      <charset val="186"/>
    </font>
    <font>
      <sz val="11"/>
      <color rgb="FF000000"/>
      <name val="Arial1"/>
      <charset val="186"/>
    </font>
    <font>
      <sz val="11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4">
    <xf numFmtId="0" fontId="0" fillId="0" borderId="0" xfId="0"/>
    <xf numFmtId="1" fontId="6" fillId="0" borderId="1" xfId="3" applyNumberFormat="1" applyFont="1" applyBorder="1"/>
    <xf numFmtId="3" fontId="7" fillId="2" borderId="1" xfId="3" applyNumberFormat="1" applyFont="1" applyFill="1" applyBorder="1"/>
    <xf numFmtId="3" fontId="7" fillId="0" borderId="1" xfId="3" applyNumberFormat="1" applyFont="1" applyBorder="1"/>
    <xf numFmtId="1" fontId="6" fillId="3" borderId="1" xfId="3" applyNumberFormat="1" applyFont="1" applyFill="1" applyBorder="1"/>
    <xf numFmtId="0" fontId="5" fillId="0" borderId="1" xfId="0" applyFont="1" applyBorder="1" applyAlignment="1">
      <alignment wrapText="1"/>
    </xf>
    <xf numFmtId="4" fontId="6" fillId="0" borderId="1" xfId="2" applyNumberFormat="1" applyFont="1" applyBorder="1"/>
    <xf numFmtId="0" fontId="5" fillId="0" borderId="1" xfId="0" applyFont="1" applyBorder="1" applyAlignment="1">
      <alignment horizontal="center" wrapText="1"/>
    </xf>
    <xf numFmtId="0" fontId="6" fillId="0" borderId="1" xfId="7" applyFont="1" applyBorder="1"/>
    <xf numFmtId="1" fontId="6" fillId="0" borderId="0" xfId="3" applyNumberFormat="1" applyFont="1" applyBorder="1"/>
    <xf numFmtId="3" fontId="7" fillId="2" borderId="0" xfId="3" applyNumberFormat="1" applyFont="1" applyFill="1" applyBorder="1"/>
    <xf numFmtId="0" fontId="6" fillId="0" borderId="0" xfId="7" applyFont="1" applyBorder="1"/>
    <xf numFmtId="3" fontId="7" fillId="0" borderId="0" xfId="3" applyNumberFormat="1" applyFont="1" applyBorder="1"/>
    <xf numFmtId="3" fontId="7" fillId="3" borderId="1" xfId="3" applyNumberFormat="1" applyFont="1" applyFill="1" applyBorder="1"/>
    <xf numFmtId="0" fontId="6" fillId="3" borderId="1" xfId="2" applyFont="1" applyFill="1" applyBorder="1"/>
    <xf numFmtId="4" fontId="6" fillId="3" borderId="1" xfId="2" applyNumberFormat="1" applyFont="1" applyFill="1" applyBorder="1"/>
    <xf numFmtId="0" fontId="6" fillId="3" borderId="1" xfId="7" applyFont="1" applyFill="1" applyBorder="1"/>
    <xf numFmtId="4" fontId="6" fillId="3" borderId="1" xfId="7" applyNumberFormat="1" applyFont="1" applyFill="1" applyBorder="1"/>
    <xf numFmtId="0" fontId="5" fillId="0" borderId="0" xfId="0" applyFont="1"/>
    <xf numFmtId="0" fontId="5" fillId="0" borderId="1" xfId="0" applyFont="1" applyBorder="1"/>
    <xf numFmtId="1" fontId="8" fillId="0" borderId="1" xfId="3" applyNumberFormat="1" applyFont="1" applyFill="1" applyBorder="1"/>
    <xf numFmtId="0" fontId="9" fillId="0" borderId="1" xfId="0" applyFont="1" applyBorder="1"/>
    <xf numFmtId="1" fontId="6" fillId="0" borderId="1" xfId="3" applyNumberFormat="1" applyFont="1" applyBorder="1" applyAlignment="1">
      <alignment horizontal="left" indent="2"/>
    </xf>
    <xf numFmtId="3" fontId="9" fillId="0" borderId="1" xfId="0" applyNumberFormat="1" applyFont="1" applyBorder="1"/>
    <xf numFmtId="0" fontId="5" fillId="4" borderId="0" xfId="0" applyFont="1" applyFill="1"/>
    <xf numFmtId="167" fontId="5" fillId="4" borderId="0" xfId="0" applyNumberFormat="1" applyFont="1" applyFill="1"/>
    <xf numFmtId="9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9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right"/>
    </xf>
    <xf numFmtId="168" fontId="9" fillId="0" borderId="1" xfId="1" applyNumberFormat="1" applyFont="1" applyBorder="1"/>
    <xf numFmtId="167" fontId="9" fillId="0" borderId="0" xfId="0" applyNumberFormat="1" applyFont="1"/>
    <xf numFmtId="0" fontId="5" fillId="0" borderId="2" xfId="0" applyFont="1" applyBorder="1" applyAlignment="1">
      <alignment horizontal="center" wrapText="1"/>
    </xf>
    <xf numFmtId="0" fontId="5" fillId="0" borderId="2" xfId="0" applyFont="1" applyBorder="1"/>
    <xf numFmtId="168" fontId="9" fillId="0" borderId="2" xfId="1" applyNumberFormat="1" applyFont="1" applyBorder="1"/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3" fontId="11" fillId="0" borderId="1" xfId="3" applyNumberFormat="1" applyFont="1" applyBorder="1"/>
    <xf numFmtId="165" fontId="11" fillId="0" borderId="1" xfId="3" applyNumberFormat="1" applyFont="1" applyBorder="1"/>
    <xf numFmtId="3" fontId="12" fillId="0" borderId="1" xfId="0" applyNumberFormat="1" applyFont="1" applyBorder="1"/>
    <xf numFmtId="3" fontId="13" fillId="0" borderId="1" xfId="3" applyNumberFormat="1" applyFont="1" applyBorder="1"/>
    <xf numFmtId="165" fontId="13" fillId="0" borderId="1" xfId="3" applyNumberFormat="1" applyFont="1" applyBorder="1"/>
    <xf numFmtId="3" fontId="13" fillId="0" borderId="2" xfId="3" applyNumberFormat="1" applyFont="1" applyBorder="1"/>
    <xf numFmtId="166" fontId="9" fillId="0" borderId="1" xfId="0" applyNumberFormat="1" applyFont="1" applyBorder="1"/>
    <xf numFmtId="164" fontId="9" fillId="0" borderId="1" xfId="1" applyNumberFormat="1" applyFont="1" applyBorder="1"/>
    <xf numFmtId="166" fontId="9" fillId="0" borderId="1" xfId="1" applyNumberFormat="1" applyFont="1" applyBorder="1"/>
    <xf numFmtId="169" fontId="9" fillId="0" borderId="1" xfId="8" applyNumberFormat="1" applyFont="1" applyBorder="1"/>
    <xf numFmtId="169" fontId="6" fillId="0" borderId="1" xfId="8" applyNumberFormat="1" applyFont="1" applyBorder="1"/>
    <xf numFmtId="0" fontId="10" fillId="0" borderId="0" xfId="0" applyFont="1"/>
    <xf numFmtId="170" fontId="10" fillId="0" borderId="0" xfId="0" applyNumberFormat="1" applyFont="1"/>
    <xf numFmtId="3" fontId="16" fillId="2" borderId="1" xfId="3" applyNumberFormat="1" applyFont="1" applyFill="1" applyBorder="1"/>
    <xf numFmtId="3" fontId="11" fillId="0" borderId="2" xfId="3" applyNumberFormat="1" applyFont="1" applyBorder="1"/>
    <xf numFmtId="171" fontId="10" fillId="0" borderId="0" xfId="0" applyNumberFormat="1" applyFont="1"/>
    <xf numFmtId="166" fontId="10" fillId="0" borderId="0" xfId="0" applyNumberFormat="1" applyFont="1"/>
  </cellXfs>
  <cellStyles count="15">
    <cellStyle name="Comma" xfId="8" builtinId="3"/>
    <cellStyle name="Currency" xfId="1" builtinId="4"/>
    <cellStyle name="Followed Hyperlink" xfId="10" builtinId="9" hidden="1"/>
    <cellStyle name="Followed Hyperlink" xfId="12" builtinId="9" hidden="1"/>
    <cellStyle name="Followed Hyperlink" xfId="14" builtinId="9" hidden="1"/>
    <cellStyle name="Hyperlink" xfId="9" builtinId="8" hidden="1"/>
    <cellStyle name="Hyperlink" xfId="11" builtinId="8" hidden="1"/>
    <cellStyle name="Hyperlink" xfId="13" builtinId="8" hidden="1"/>
    <cellStyle name="Normaallaad 2" xfId="2"/>
    <cellStyle name="Normaallaad 3" xfId="7"/>
    <cellStyle name="Normal" xfId="0" builtinId="0"/>
    <cellStyle name="Normal 2" xfId="3"/>
    <cellStyle name="Normal 2 2" xfId="4"/>
    <cellStyle name="Normal 3" xfId="5"/>
    <cellStyle name="Normal 39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F11" sqref="F11"/>
    </sheetView>
  </sheetViews>
  <sheetFormatPr baseColWidth="10" defaultColWidth="8.83203125" defaultRowHeight="14" x14ac:dyDescent="0"/>
  <cols>
    <col min="1" max="1" width="11.33203125" bestFit="1" customWidth="1"/>
    <col min="2" max="2" width="10.1640625" bestFit="1" customWidth="1"/>
    <col min="3" max="3" width="11.5" bestFit="1" customWidth="1"/>
    <col min="4" max="4" width="11" customWidth="1"/>
    <col min="9" max="9" width="11.5" bestFit="1" customWidth="1"/>
  </cols>
  <sheetData>
    <row r="1" spans="1:11" ht="40">
      <c r="A1" s="5" t="s">
        <v>0</v>
      </c>
      <c r="B1" s="7" t="s">
        <v>2</v>
      </c>
      <c r="C1" s="7" t="s">
        <v>42</v>
      </c>
      <c r="D1" s="7" t="s">
        <v>1</v>
      </c>
    </row>
    <row r="2" spans="1:11">
      <c r="A2" s="1" t="s">
        <v>3</v>
      </c>
      <c r="B2" s="2">
        <v>1351</v>
      </c>
      <c r="C2" s="6">
        <v>12837.7</v>
      </c>
      <c r="D2" s="3">
        <v>493738</v>
      </c>
    </row>
    <row r="3" spans="1:11">
      <c r="A3" s="1" t="s">
        <v>4</v>
      </c>
      <c r="B3" s="2">
        <v>1924</v>
      </c>
      <c r="C3" s="6">
        <v>11001.6</v>
      </c>
      <c r="D3" s="3">
        <v>965213</v>
      </c>
    </row>
    <row r="4" spans="1:11">
      <c r="A4" s="1" t="s">
        <v>24</v>
      </c>
      <c r="B4" s="2">
        <v>952</v>
      </c>
      <c r="C4" s="8">
        <v>192.6</v>
      </c>
      <c r="D4" s="3">
        <v>265902</v>
      </c>
      <c r="H4" s="9"/>
      <c r="I4" s="10"/>
      <c r="J4" s="11"/>
      <c r="K4" s="12"/>
    </row>
    <row r="5" spans="1:11">
      <c r="A5" s="1" t="s">
        <v>5</v>
      </c>
      <c r="B5" s="2">
        <v>2615</v>
      </c>
      <c r="C5" s="6">
        <v>18921.7</v>
      </c>
      <c r="D5" s="3">
        <v>1153703</v>
      </c>
    </row>
    <row r="6" spans="1:11">
      <c r="A6" s="1" t="s">
        <v>6</v>
      </c>
      <c r="B6" s="2">
        <v>1451</v>
      </c>
      <c r="C6" s="6">
        <v>10760.4</v>
      </c>
      <c r="D6" s="3">
        <v>631358</v>
      </c>
    </row>
    <row r="7" spans="1:11">
      <c r="A7" s="1" t="s">
        <v>7</v>
      </c>
      <c r="B7" s="2">
        <v>817</v>
      </c>
      <c r="C7" s="6">
        <v>23318.3</v>
      </c>
      <c r="D7" s="3">
        <v>411668</v>
      </c>
    </row>
    <row r="8" spans="1:11">
      <c r="A8" s="1" t="s">
        <v>8</v>
      </c>
      <c r="B8" s="2">
        <v>3899</v>
      </c>
      <c r="C8" s="6">
        <v>13154.4</v>
      </c>
      <c r="D8" s="3">
        <v>2144668</v>
      </c>
    </row>
    <row r="9" spans="1:11">
      <c r="A9" s="1" t="s">
        <v>9</v>
      </c>
      <c r="B9" s="2">
        <v>622</v>
      </c>
      <c r="C9" s="6">
        <v>14347.9</v>
      </c>
      <c r="D9" s="3">
        <v>214192</v>
      </c>
    </row>
    <row r="10" spans="1:11">
      <c r="A10" s="1" t="s">
        <v>10</v>
      </c>
      <c r="B10" s="2">
        <v>1674</v>
      </c>
      <c r="C10" s="6">
        <v>13347.2</v>
      </c>
      <c r="D10" s="3">
        <v>707698</v>
      </c>
    </row>
    <row r="11" spans="1:11">
      <c r="A11" s="1" t="s">
        <v>11</v>
      </c>
      <c r="B11" s="2">
        <v>3962</v>
      </c>
      <c r="C11" s="6">
        <v>16892</v>
      </c>
      <c r="D11" s="3">
        <v>2066175</v>
      </c>
    </row>
    <row r="12" spans="1:11">
      <c r="A12" s="1" t="s">
        <v>12</v>
      </c>
      <c r="B12" s="2">
        <v>730</v>
      </c>
      <c r="C12" s="6">
        <v>3095.3</v>
      </c>
      <c r="D12" s="3">
        <v>146054</v>
      </c>
    </row>
    <row r="13" spans="1:11">
      <c r="A13" s="1" t="s">
        <v>14</v>
      </c>
      <c r="B13" s="2">
        <v>2322</v>
      </c>
      <c r="C13" s="6">
        <v>16754.099999999999</v>
      </c>
      <c r="D13" s="3">
        <v>1009942</v>
      </c>
    </row>
    <row r="14" spans="1:11">
      <c r="A14" s="1" t="s">
        <v>22</v>
      </c>
      <c r="B14" s="2">
        <v>6549</v>
      </c>
      <c r="C14" s="6">
        <v>30025.7</v>
      </c>
      <c r="D14" s="3">
        <v>3656009</v>
      </c>
    </row>
    <row r="15" spans="1:11">
      <c r="A15" s="1" t="s">
        <v>17</v>
      </c>
      <c r="B15" s="2">
        <v>2594</v>
      </c>
      <c r="C15" s="6">
        <v>11478.9</v>
      </c>
      <c r="D15" s="3">
        <v>1577515</v>
      </c>
    </row>
    <row r="16" spans="1:11">
      <c r="A16" s="1" t="s">
        <v>18</v>
      </c>
      <c r="B16" s="2">
        <v>1937</v>
      </c>
      <c r="C16" s="6">
        <v>33380.5</v>
      </c>
      <c r="D16" s="3">
        <v>775544</v>
      </c>
    </row>
    <row r="17" spans="1:4">
      <c r="A17" s="1" t="s">
        <v>19</v>
      </c>
      <c r="B17" s="2">
        <v>1102</v>
      </c>
      <c r="C17" s="6">
        <v>23263.1</v>
      </c>
      <c r="D17" s="3">
        <v>400066</v>
      </c>
    </row>
    <row r="18" spans="1:4">
      <c r="A18" s="1" t="s">
        <v>20</v>
      </c>
      <c r="B18" s="2">
        <v>6506</v>
      </c>
      <c r="C18" s="6">
        <v>8634.9</v>
      </c>
      <c r="D18" s="3">
        <v>4306634</v>
      </c>
    </row>
    <row r="19" spans="1:4">
      <c r="A19" s="4" t="s">
        <v>13</v>
      </c>
      <c r="B19" s="13">
        <v>104</v>
      </c>
      <c r="C19" s="14">
        <v>776.1</v>
      </c>
      <c r="D19" s="13">
        <v>27303</v>
      </c>
    </row>
    <row r="20" spans="1:4">
      <c r="A20" s="4" t="s">
        <v>15</v>
      </c>
      <c r="B20" s="13">
        <v>1647</v>
      </c>
      <c r="C20" s="15">
        <v>15800.7</v>
      </c>
      <c r="D20" s="13">
        <v>782321</v>
      </c>
    </row>
    <row r="21" spans="1:4">
      <c r="A21" s="4" t="s">
        <v>16</v>
      </c>
      <c r="B21" s="13">
        <v>2746</v>
      </c>
      <c r="C21" s="15">
        <v>16418.3</v>
      </c>
      <c r="D21" s="13">
        <v>1274582</v>
      </c>
    </row>
    <row r="22" spans="1:4">
      <c r="A22" s="4" t="s">
        <v>25</v>
      </c>
      <c r="B22" s="13">
        <v>5807</v>
      </c>
      <c r="C22" s="16">
        <v>992.6</v>
      </c>
      <c r="D22" s="13">
        <v>2982647</v>
      </c>
    </row>
    <row r="23" spans="1:4">
      <c r="A23" s="4" t="s">
        <v>23</v>
      </c>
      <c r="B23" s="13">
        <v>97843</v>
      </c>
      <c r="C23" s="17">
        <v>3879.9</v>
      </c>
      <c r="D23" s="13">
        <v>53260312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C33" sqref="C33"/>
    </sheetView>
  </sheetViews>
  <sheetFormatPr baseColWidth="10" defaultColWidth="8.83203125" defaultRowHeight="13" x14ac:dyDescent="0"/>
  <cols>
    <col min="1" max="1" width="22.83203125" style="18" customWidth="1"/>
    <col min="2" max="2" width="11.83203125" style="18" customWidth="1"/>
    <col min="3" max="3" width="12" style="18" customWidth="1"/>
    <col min="4" max="4" width="15" style="18" customWidth="1"/>
    <col min="5" max="5" width="12" style="18" bestFit="1" customWidth="1"/>
    <col min="6" max="6" width="9" style="18" customWidth="1"/>
    <col min="7" max="7" width="11.83203125" style="18" customWidth="1"/>
    <col min="8" max="8" width="12" style="18" customWidth="1"/>
    <col min="9" max="10" width="14.5" style="18" bestFit="1" customWidth="1"/>
    <col min="11" max="11" width="13.5" style="18" bestFit="1" customWidth="1"/>
    <col min="12" max="12" width="14.33203125" style="18" customWidth="1"/>
    <col min="13" max="16384" width="8.83203125" style="18"/>
  </cols>
  <sheetData>
    <row r="1" spans="1:13">
      <c r="A1" s="24" t="s">
        <v>30</v>
      </c>
      <c r="B1" s="25">
        <v>3000000</v>
      </c>
      <c r="E1" s="29" t="s">
        <v>33</v>
      </c>
      <c r="F1" s="29"/>
      <c r="G1" s="29"/>
      <c r="H1" s="28">
        <v>0.2</v>
      </c>
      <c r="I1" s="28">
        <v>0.46</v>
      </c>
      <c r="J1" s="28">
        <v>0.24</v>
      </c>
      <c r="K1" s="28">
        <v>0.1</v>
      </c>
      <c r="L1" s="26">
        <f>SUM(H1:K1)</f>
        <v>1</v>
      </c>
    </row>
    <row r="2" spans="1:13">
      <c r="H2" s="27">
        <f>$B$1*H1</f>
        <v>600000</v>
      </c>
      <c r="I2" s="27">
        <f t="shared" ref="I2:K2" si="0">$B$1*I1</f>
        <v>1380000</v>
      </c>
      <c r="J2" s="27">
        <f t="shared" si="0"/>
        <v>720000</v>
      </c>
      <c r="K2" s="27">
        <f t="shared" si="0"/>
        <v>300000</v>
      </c>
      <c r="L2" s="27">
        <f>SUM(H2:K2)</f>
        <v>3000000</v>
      </c>
      <c r="M2" s="48" t="s">
        <v>43</v>
      </c>
    </row>
    <row r="3" spans="1:13" ht="39">
      <c r="A3" s="19"/>
      <c r="B3" s="7" t="s">
        <v>2</v>
      </c>
      <c r="C3" s="7" t="s">
        <v>42</v>
      </c>
      <c r="D3" s="7" t="s">
        <v>1</v>
      </c>
      <c r="E3" s="35" t="s">
        <v>35</v>
      </c>
      <c r="F3" s="36" t="s">
        <v>36</v>
      </c>
      <c r="G3" s="36" t="s">
        <v>38</v>
      </c>
      <c r="H3" s="32" t="s">
        <v>31</v>
      </c>
      <c r="I3" s="7" t="s">
        <v>34</v>
      </c>
      <c r="J3" s="7" t="s">
        <v>32</v>
      </c>
      <c r="K3" s="7" t="s">
        <v>37</v>
      </c>
      <c r="L3" s="19" t="s">
        <v>29</v>
      </c>
      <c r="M3" s="48"/>
    </row>
    <row r="4" spans="1:13">
      <c r="A4" s="21" t="s">
        <v>27</v>
      </c>
      <c r="B4" s="23">
        <f>SUM(B5:B9)</f>
        <v>11519</v>
      </c>
      <c r="C4" s="46">
        <f t="shared" ref="C4:D4" si="1">SUM(C5:C9)</f>
        <v>79531.8</v>
      </c>
      <c r="D4" s="23">
        <f t="shared" si="1"/>
        <v>5337247</v>
      </c>
      <c r="E4" s="37">
        <f t="shared" ref="E4:E18" si="2">ROUND(D4/B4,0)</f>
        <v>463</v>
      </c>
      <c r="F4" s="38">
        <f>ROUND($E$25/E4,3)</f>
        <v>1.1020000000000001</v>
      </c>
      <c r="G4" s="39">
        <f>SUM(G5:G9)</f>
        <v>13945</v>
      </c>
      <c r="H4" s="31">
        <f>ROUND($H$2/4,0)</f>
        <v>150000</v>
      </c>
      <c r="I4" s="43">
        <f>ROUND(B4/B$25*I$2,2)</f>
        <v>387646.5</v>
      </c>
      <c r="J4" s="43">
        <f>ROUND(C4/C$25*J$2,2)</f>
        <v>219057.06</v>
      </c>
      <c r="K4" s="43">
        <f>ROUND(G4/G$25*K$2,2)</f>
        <v>96527.46</v>
      </c>
      <c r="L4" s="44">
        <f>SUM(H4:K4)</f>
        <v>853231.02</v>
      </c>
      <c r="M4" s="49">
        <f>L4/B4</f>
        <v>74.071622536678532</v>
      </c>
    </row>
    <row r="5" spans="1:13">
      <c r="A5" s="22" t="s">
        <v>3</v>
      </c>
      <c r="B5" s="2">
        <v>1351</v>
      </c>
      <c r="C5" s="47">
        <v>12837.7</v>
      </c>
      <c r="D5" s="3">
        <v>493738</v>
      </c>
      <c r="E5" s="40">
        <f t="shared" si="2"/>
        <v>365</v>
      </c>
      <c r="F5" s="41">
        <f>ROUND($E$25/E5,3)</f>
        <v>1.397</v>
      </c>
      <c r="G5" s="42">
        <f>ROUND(F5*B5,0)</f>
        <v>1887</v>
      </c>
      <c r="H5" s="33"/>
      <c r="I5" s="19"/>
      <c r="J5" s="19"/>
      <c r="K5" s="19"/>
      <c r="L5" s="19"/>
      <c r="M5" s="49"/>
    </row>
    <row r="6" spans="1:13">
      <c r="A6" s="22" t="s">
        <v>12</v>
      </c>
      <c r="B6" s="2">
        <v>730</v>
      </c>
      <c r="C6" s="47">
        <v>3095.3</v>
      </c>
      <c r="D6" s="3">
        <v>146054</v>
      </c>
      <c r="E6" s="40">
        <f t="shared" si="2"/>
        <v>200</v>
      </c>
      <c r="F6" s="41">
        <f t="shared" ref="F6:F24" si="3">ROUND($E$25/E6,3)</f>
        <v>2.5499999999999998</v>
      </c>
      <c r="G6" s="42">
        <f t="shared" ref="G6:G24" si="4">ROUND(F6*B6,0)</f>
        <v>1862</v>
      </c>
      <c r="H6" s="33"/>
      <c r="I6" s="19"/>
      <c r="J6" s="19"/>
      <c r="K6" s="19"/>
      <c r="L6" s="19"/>
      <c r="M6" s="49"/>
    </row>
    <row r="7" spans="1:13">
      <c r="A7" s="22" t="s">
        <v>24</v>
      </c>
      <c r="B7" s="2">
        <v>952</v>
      </c>
      <c r="C7" s="47">
        <v>192.6</v>
      </c>
      <c r="D7" s="3">
        <v>265902</v>
      </c>
      <c r="E7" s="40">
        <f t="shared" si="2"/>
        <v>279</v>
      </c>
      <c r="F7" s="41">
        <f t="shared" si="3"/>
        <v>1.8280000000000001</v>
      </c>
      <c r="G7" s="42">
        <f t="shared" si="4"/>
        <v>1740</v>
      </c>
      <c r="H7" s="33"/>
      <c r="I7" s="19"/>
      <c r="J7" s="19"/>
      <c r="K7" s="19"/>
      <c r="L7" s="19"/>
      <c r="M7" s="49"/>
    </row>
    <row r="8" spans="1:13">
      <c r="A8" s="22" t="s">
        <v>22</v>
      </c>
      <c r="B8" s="2">
        <v>6549</v>
      </c>
      <c r="C8" s="47">
        <v>30025.7</v>
      </c>
      <c r="D8" s="3">
        <v>3656009</v>
      </c>
      <c r="E8" s="40">
        <f t="shared" si="2"/>
        <v>558</v>
      </c>
      <c r="F8" s="41">
        <f t="shared" si="3"/>
        <v>0.91400000000000003</v>
      </c>
      <c r="G8" s="42">
        <f t="shared" si="4"/>
        <v>5986</v>
      </c>
      <c r="H8" s="33"/>
      <c r="I8" s="19"/>
      <c r="J8" s="19"/>
      <c r="K8" s="19"/>
      <c r="L8" s="19"/>
      <c r="M8" s="49"/>
    </row>
    <row r="9" spans="1:13">
      <c r="A9" s="22" t="s">
        <v>18</v>
      </c>
      <c r="B9" s="2">
        <v>1937</v>
      </c>
      <c r="C9" s="47">
        <v>33380.5</v>
      </c>
      <c r="D9" s="3">
        <v>775544</v>
      </c>
      <c r="E9" s="40">
        <f t="shared" si="2"/>
        <v>400</v>
      </c>
      <c r="F9" s="41">
        <f t="shared" si="3"/>
        <v>1.2749999999999999</v>
      </c>
      <c r="G9" s="42">
        <f t="shared" si="4"/>
        <v>2470</v>
      </c>
      <c r="H9" s="33"/>
      <c r="I9" s="19"/>
      <c r="J9" s="19"/>
      <c r="K9" s="19"/>
      <c r="L9" s="19"/>
      <c r="M9" s="49"/>
    </row>
    <row r="10" spans="1:13">
      <c r="A10" s="20" t="s">
        <v>28</v>
      </c>
      <c r="B10" s="23">
        <f>SUM(B11:B14)</f>
        <v>7297</v>
      </c>
      <c r="C10" s="46">
        <f t="shared" ref="C10:D10" si="5">SUM(C11:C14)</f>
        <v>64112.6</v>
      </c>
      <c r="D10" s="23">
        <f t="shared" si="5"/>
        <v>3466624</v>
      </c>
      <c r="E10" s="37">
        <f t="shared" si="2"/>
        <v>475</v>
      </c>
      <c r="F10" s="38">
        <f t="shared" si="3"/>
        <v>1.0740000000000001</v>
      </c>
      <c r="G10" s="39">
        <f>SUM(G11:G14)</f>
        <v>8103</v>
      </c>
      <c r="H10" s="31">
        <f>ROUND($H$2/4,0)</f>
        <v>150000</v>
      </c>
      <c r="I10" s="43">
        <f>ROUND(B10/B$25*I$2,2)</f>
        <v>245564.42</v>
      </c>
      <c r="J10" s="43">
        <f>ROUND(C10/C$25*J$2,2)</f>
        <v>176587.45</v>
      </c>
      <c r="K10" s="43">
        <f>ROUND(G10/G$25*K$2,2)</f>
        <v>56089.06</v>
      </c>
      <c r="L10" s="44">
        <f>SUM(H10:K10)</f>
        <v>628240.93000000017</v>
      </c>
      <c r="M10" s="49">
        <f>L10/B10</f>
        <v>86.095783198574779</v>
      </c>
    </row>
    <row r="11" spans="1:13">
      <c r="A11" s="22" t="s">
        <v>8</v>
      </c>
      <c r="B11" s="2">
        <v>3899</v>
      </c>
      <c r="C11" s="47">
        <v>13154.4</v>
      </c>
      <c r="D11" s="3">
        <v>2144668</v>
      </c>
      <c r="E11" s="40">
        <f t="shared" si="2"/>
        <v>550</v>
      </c>
      <c r="F11" s="41">
        <f t="shared" si="3"/>
        <v>0.92700000000000005</v>
      </c>
      <c r="G11" s="42">
        <f t="shared" si="4"/>
        <v>3614</v>
      </c>
      <c r="H11" s="33"/>
      <c r="I11" s="19"/>
      <c r="J11" s="19"/>
      <c r="K11" s="19"/>
      <c r="L11" s="19"/>
      <c r="M11" s="49"/>
    </row>
    <row r="12" spans="1:13">
      <c r="A12" s="22" t="s">
        <v>9</v>
      </c>
      <c r="B12" s="2">
        <v>622</v>
      </c>
      <c r="C12" s="47">
        <v>14347.9</v>
      </c>
      <c r="D12" s="3">
        <v>214192</v>
      </c>
      <c r="E12" s="40">
        <f t="shared" si="2"/>
        <v>344</v>
      </c>
      <c r="F12" s="41">
        <f t="shared" si="3"/>
        <v>1.4830000000000001</v>
      </c>
      <c r="G12" s="42">
        <f t="shared" si="4"/>
        <v>922</v>
      </c>
      <c r="H12" s="33"/>
      <c r="I12" s="19"/>
      <c r="J12" s="19"/>
      <c r="K12" s="19"/>
      <c r="L12" s="19"/>
      <c r="M12" s="49"/>
    </row>
    <row r="13" spans="1:13">
      <c r="A13" s="22" t="s">
        <v>10</v>
      </c>
      <c r="B13" s="2">
        <v>1674</v>
      </c>
      <c r="C13" s="47">
        <v>13347.2</v>
      </c>
      <c r="D13" s="3">
        <v>707698</v>
      </c>
      <c r="E13" s="40">
        <f t="shared" si="2"/>
        <v>423</v>
      </c>
      <c r="F13" s="41">
        <f t="shared" si="3"/>
        <v>1.206</v>
      </c>
      <c r="G13" s="42">
        <f t="shared" si="4"/>
        <v>2019</v>
      </c>
      <c r="H13" s="33"/>
      <c r="I13" s="19"/>
      <c r="J13" s="19"/>
      <c r="K13" s="19"/>
      <c r="L13" s="19"/>
      <c r="M13" s="49"/>
    </row>
    <row r="14" spans="1:13">
      <c r="A14" s="22" t="s">
        <v>19</v>
      </c>
      <c r="B14" s="2">
        <v>1102</v>
      </c>
      <c r="C14" s="47">
        <v>23263.1</v>
      </c>
      <c r="D14" s="3">
        <v>400066</v>
      </c>
      <c r="E14" s="40">
        <f t="shared" si="2"/>
        <v>363</v>
      </c>
      <c r="F14" s="41">
        <f t="shared" si="3"/>
        <v>1.405</v>
      </c>
      <c r="G14" s="42">
        <f t="shared" si="4"/>
        <v>1548</v>
      </c>
      <c r="H14" s="33"/>
      <c r="I14" s="19"/>
      <c r="J14" s="19"/>
      <c r="K14" s="19"/>
      <c r="L14" s="19"/>
      <c r="M14" s="49"/>
    </row>
    <row r="15" spans="1:13">
      <c r="A15" s="20" t="s">
        <v>40</v>
      </c>
      <c r="B15" s="23">
        <f>SUM(B16:B18)</f>
        <v>11045</v>
      </c>
      <c r="C15" s="46">
        <f t="shared" ref="C15:D15" si="6">SUM(C16:C18)</f>
        <v>38558.200000000004</v>
      </c>
      <c r="D15" s="23">
        <f t="shared" si="6"/>
        <v>6425550</v>
      </c>
      <c r="E15" s="37">
        <f t="shared" si="2"/>
        <v>582</v>
      </c>
      <c r="F15" s="38">
        <f t="shared" si="3"/>
        <v>0.876</v>
      </c>
      <c r="G15" s="39">
        <f>SUM(G16:G18)</f>
        <v>9988</v>
      </c>
      <c r="H15" s="31">
        <f>ROUND($H$2/4,0)</f>
        <v>150000</v>
      </c>
      <c r="I15" s="43">
        <f>ROUND(B15/B$25*I$2,2)</f>
        <v>371695.08</v>
      </c>
      <c r="J15" s="43">
        <f>ROUND(C15/C$25*J$2,2)</f>
        <v>106202.12</v>
      </c>
      <c r="K15" s="43">
        <f>ROUND(G15/G$25*K$2,2)</f>
        <v>69137.06</v>
      </c>
      <c r="L15" s="44">
        <f>SUM(H15:K15)</f>
        <v>697034.26</v>
      </c>
      <c r="M15" s="49">
        <f>L15/B15</f>
        <v>63.1085794477139</v>
      </c>
    </row>
    <row r="16" spans="1:13">
      <c r="A16" s="22" t="s">
        <v>4</v>
      </c>
      <c r="B16" s="2">
        <v>1924</v>
      </c>
      <c r="C16" s="47">
        <v>11001.6</v>
      </c>
      <c r="D16" s="3">
        <v>965213</v>
      </c>
      <c r="E16" s="40">
        <f t="shared" si="2"/>
        <v>502</v>
      </c>
      <c r="F16" s="41">
        <f t="shared" si="3"/>
        <v>1.016</v>
      </c>
      <c r="G16" s="42">
        <f t="shared" si="4"/>
        <v>1955</v>
      </c>
      <c r="H16" s="33"/>
      <c r="I16" s="19"/>
      <c r="J16" s="19"/>
      <c r="K16" s="19"/>
      <c r="L16" s="19"/>
      <c r="M16" s="49"/>
    </row>
    <row r="17" spans="1:13">
      <c r="A17" s="22" t="s">
        <v>5</v>
      </c>
      <c r="B17" s="2">
        <v>2615</v>
      </c>
      <c r="C17" s="47">
        <v>18921.7</v>
      </c>
      <c r="D17" s="3">
        <v>1153703</v>
      </c>
      <c r="E17" s="40">
        <f t="shared" si="2"/>
        <v>441</v>
      </c>
      <c r="F17" s="41">
        <f t="shared" si="3"/>
        <v>1.1559999999999999</v>
      </c>
      <c r="G17" s="42">
        <f t="shared" si="4"/>
        <v>3023</v>
      </c>
      <c r="H17" s="33"/>
      <c r="I17" s="19"/>
      <c r="J17" s="19"/>
      <c r="K17" s="19"/>
      <c r="L17" s="19"/>
      <c r="M17" s="49"/>
    </row>
    <row r="18" spans="1:13">
      <c r="A18" s="22" t="s">
        <v>20</v>
      </c>
      <c r="B18" s="2">
        <v>6506</v>
      </c>
      <c r="C18" s="47">
        <v>8634.9</v>
      </c>
      <c r="D18" s="3">
        <v>4306634</v>
      </c>
      <c r="E18" s="40">
        <f t="shared" si="2"/>
        <v>662</v>
      </c>
      <c r="F18" s="41">
        <f t="shared" si="3"/>
        <v>0.77</v>
      </c>
      <c r="G18" s="42">
        <f t="shared" si="4"/>
        <v>5010</v>
      </c>
      <c r="H18" s="33"/>
      <c r="I18" s="19"/>
      <c r="J18" s="19"/>
      <c r="K18" s="19"/>
      <c r="L18" s="19"/>
      <c r="M18" s="49"/>
    </row>
    <row r="19" spans="1:13">
      <c r="A19" s="20" t="s">
        <v>26</v>
      </c>
      <c r="B19" s="23">
        <f>SUM(B20:B24)</f>
        <v>11146</v>
      </c>
      <c r="C19" s="46">
        <f t="shared" ref="C19:D19" si="7">SUM(C20:C24)</f>
        <v>79203.699999999983</v>
      </c>
      <c r="D19" s="23">
        <f t="shared" si="7"/>
        <v>5696658</v>
      </c>
      <c r="E19" s="37">
        <f t="shared" ref="E19:E25" si="8">ROUND(D19/B19,0)</f>
        <v>511</v>
      </c>
      <c r="F19" s="38">
        <f t="shared" si="3"/>
        <v>0.998</v>
      </c>
      <c r="G19" s="39">
        <f>SUM(G20:G24)</f>
        <v>11304</v>
      </c>
      <c r="H19" s="31">
        <f>ROUND($H$2/4,0)</f>
        <v>150000</v>
      </c>
      <c r="I19" s="43">
        <f>ROUND(B19/B$25*I$2,2)</f>
        <v>375094.01</v>
      </c>
      <c r="J19" s="43">
        <f>ROUND(C19/C$25*J$2,2)</f>
        <v>218153.37</v>
      </c>
      <c r="K19" s="43">
        <f>ROUND(G19/G$25*K$2,2)</f>
        <v>78246.42</v>
      </c>
      <c r="L19" s="44">
        <f>SUM(H19:K19)</f>
        <v>821493.8</v>
      </c>
      <c r="M19" s="49">
        <f>L19/B19</f>
        <v>73.703014534362111</v>
      </c>
    </row>
    <row r="20" spans="1:13">
      <c r="A20" s="22" t="s">
        <v>6</v>
      </c>
      <c r="B20" s="2">
        <v>1451</v>
      </c>
      <c r="C20" s="47">
        <v>10760.4</v>
      </c>
      <c r="D20" s="3">
        <v>631358</v>
      </c>
      <c r="E20" s="40">
        <f t="shared" si="8"/>
        <v>435</v>
      </c>
      <c r="F20" s="41">
        <f t="shared" si="3"/>
        <v>1.1719999999999999</v>
      </c>
      <c r="G20" s="42">
        <f t="shared" si="4"/>
        <v>1701</v>
      </c>
      <c r="H20" s="33"/>
      <c r="I20" s="19"/>
      <c r="J20" s="19"/>
      <c r="K20" s="19"/>
      <c r="L20" s="19"/>
      <c r="M20" s="49"/>
    </row>
    <row r="21" spans="1:13">
      <c r="A21" s="22" t="s">
        <v>7</v>
      </c>
      <c r="B21" s="2">
        <v>817</v>
      </c>
      <c r="C21" s="47">
        <v>23318.3</v>
      </c>
      <c r="D21" s="3">
        <v>411668</v>
      </c>
      <c r="E21" s="40">
        <f t="shared" si="8"/>
        <v>504</v>
      </c>
      <c r="F21" s="41">
        <f t="shared" si="3"/>
        <v>1.012</v>
      </c>
      <c r="G21" s="42">
        <f t="shared" si="4"/>
        <v>827</v>
      </c>
      <c r="H21" s="33"/>
      <c r="I21" s="19"/>
      <c r="J21" s="19"/>
      <c r="K21" s="19"/>
      <c r="L21" s="19"/>
      <c r="M21" s="49"/>
    </row>
    <row r="22" spans="1:13">
      <c r="A22" s="22" t="s">
        <v>11</v>
      </c>
      <c r="B22" s="2">
        <v>3962</v>
      </c>
      <c r="C22" s="47">
        <v>16892</v>
      </c>
      <c r="D22" s="3">
        <v>2066175</v>
      </c>
      <c r="E22" s="40">
        <f t="shared" si="8"/>
        <v>521</v>
      </c>
      <c r="F22" s="41">
        <f t="shared" si="3"/>
        <v>0.97899999999999998</v>
      </c>
      <c r="G22" s="42">
        <f t="shared" si="4"/>
        <v>3879</v>
      </c>
      <c r="H22" s="33"/>
      <c r="I22" s="19"/>
      <c r="J22" s="19"/>
      <c r="K22" s="19"/>
      <c r="L22" s="19"/>
      <c r="M22" s="49"/>
    </row>
    <row r="23" spans="1:13">
      <c r="A23" s="22" t="s">
        <v>14</v>
      </c>
      <c r="B23" s="2">
        <v>2322</v>
      </c>
      <c r="C23" s="47">
        <v>16754.099999999999</v>
      </c>
      <c r="D23" s="3">
        <v>1009942</v>
      </c>
      <c r="E23" s="40">
        <f t="shared" si="8"/>
        <v>435</v>
      </c>
      <c r="F23" s="41">
        <f t="shared" si="3"/>
        <v>1.1719999999999999</v>
      </c>
      <c r="G23" s="42">
        <f t="shared" si="4"/>
        <v>2721</v>
      </c>
      <c r="H23" s="33"/>
      <c r="I23" s="19"/>
      <c r="J23" s="19"/>
      <c r="K23" s="19"/>
      <c r="L23" s="19"/>
      <c r="M23" s="49"/>
    </row>
    <row r="24" spans="1:13">
      <c r="A24" s="22" t="s">
        <v>17</v>
      </c>
      <c r="B24" s="2">
        <v>2594</v>
      </c>
      <c r="C24" s="47">
        <v>11478.9</v>
      </c>
      <c r="D24" s="3">
        <v>1577515</v>
      </c>
      <c r="E24" s="40">
        <f t="shared" si="8"/>
        <v>608</v>
      </c>
      <c r="F24" s="41">
        <f t="shared" si="3"/>
        <v>0.83899999999999997</v>
      </c>
      <c r="G24" s="42">
        <f t="shared" si="4"/>
        <v>2176</v>
      </c>
      <c r="H24" s="33"/>
      <c r="I24" s="19"/>
      <c r="J24" s="19"/>
      <c r="K24" s="19"/>
      <c r="L24" s="19"/>
      <c r="M24" s="49"/>
    </row>
    <row r="25" spans="1:13">
      <c r="A25" s="21" t="s">
        <v>29</v>
      </c>
      <c r="B25" s="23">
        <f>B4+B10+B15+B19</f>
        <v>41007</v>
      </c>
      <c r="C25" s="46">
        <f t="shared" ref="C25:D25" si="9">C4+C10+C15+C19</f>
        <v>261406.3</v>
      </c>
      <c r="D25" s="23">
        <f t="shared" si="9"/>
        <v>20926079</v>
      </c>
      <c r="E25" s="37">
        <f t="shared" si="8"/>
        <v>510</v>
      </c>
      <c r="F25" s="38">
        <f>ROUND($E$25/E25,3)</f>
        <v>1</v>
      </c>
      <c r="G25" s="39">
        <f>G4+G10+G15+G19</f>
        <v>43340</v>
      </c>
      <c r="H25" s="34">
        <f>H4+H10+H15+H19</f>
        <v>600000</v>
      </c>
      <c r="I25" s="30">
        <f t="shared" ref="I25:L25" si="10">I4+I10+I15+I19</f>
        <v>1380000.01</v>
      </c>
      <c r="J25" s="30">
        <f t="shared" si="10"/>
        <v>720000</v>
      </c>
      <c r="K25" s="30">
        <f>K4+K10+K15+K19</f>
        <v>300000</v>
      </c>
      <c r="L25" s="30">
        <f t="shared" si="10"/>
        <v>3000000.01</v>
      </c>
      <c r="M25" s="49">
        <f t="shared" ref="M20:M25" si="11">L25/B25</f>
        <v>73.158241519740528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A17" sqref="A17"/>
    </sheetView>
  </sheetViews>
  <sheetFormatPr baseColWidth="10" defaultColWidth="8.83203125" defaultRowHeight="13" x14ac:dyDescent="0"/>
  <cols>
    <col min="1" max="1" width="22.83203125" style="18" customWidth="1"/>
    <col min="2" max="2" width="11.83203125" style="18" customWidth="1"/>
    <col min="3" max="3" width="12" style="18" customWidth="1"/>
    <col min="4" max="4" width="15" style="18" customWidth="1"/>
    <col min="5" max="5" width="12" style="18" bestFit="1" customWidth="1"/>
    <col min="6" max="6" width="9" style="18" customWidth="1"/>
    <col min="7" max="7" width="11.83203125" style="18" customWidth="1"/>
    <col min="8" max="8" width="12" style="18" customWidth="1"/>
    <col min="9" max="9" width="16.33203125" style="18" bestFit="1" customWidth="1"/>
    <col min="10" max="11" width="14.5" style="18" bestFit="1" customWidth="1"/>
    <col min="12" max="12" width="16.33203125" style="18" bestFit="1" customWidth="1"/>
    <col min="13" max="13" width="8.83203125" style="48"/>
    <col min="14" max="16384" width="8.83203125" style="18"/>
  </cols>
  <sheetData>
    <row r="1" spans="1:13">
      <c r="A1" s="24" t="s">
        <v>30</v>
      </c>
      <c r="B1" s="25">
        <v>3000000</v>
      </c>
      <c r="E1" s="29" t="s">
        <v>33</v>
      </c>
      <c r="F1" s="29"/>
      <c r="G1" s="29"/>
      <c r="H1" s="28">
        <v>0.2</v>
      </c>
      <c r="I1" s="28">
        <v>0.46</v>
      </c>
      <c r="J1" s="28">
        <v>0.24</v>
      </c>
      <c r="K1" s="28">
        <v>0.1</v>
      </c>
      <c r="L1" s="26">
        <f>SUM(H1:K1)</f>
        <v>1</v>
      </c>
    </row>
    <row r="2" spans="1:13">
      <c r="H2" s="27">
        <f>$B$1*H1</f>
        <v>600000</v>
      </c>
      <c r="I2" s="27">
        <f t="shared" ref="I2:K2" si="0">$B$1*I1</f>
        <v>1380000</v>
      </c>
      <c r="J2" s="27">
        <f t="shared" si="0"/>
        <v>720000</v>
      </c>
      <c r="K2" s="27">
        <f t="shared" si="0"/>
        <v>300000</v>
      </c>
      <c r="L2" s="27">
        <f>SUM(H2:K2)</f>
        <v>3000000</v>
      </c>
      <c r="M2" s="48" t="s">
        <v>43</v>
      </c>
    </row>
    <row r="3" spans="1:13" ht="39">
      <c r="A3" s="19"/>
      <c r="B3" s="7" t="s">
        <v>2</v>
      </c>
      <c r="C3" s="7" t="s">
        <v>42</v>
      </c>
      <c r="D3" s="7" t="s">
        <v>1</v>
      </c>
      <c r="E3" s="35" t="s">
        <v>35</v>
      </c>
      <c r="F3" s="36" t="s">
        <v>36</v>
      </c>
      <c r="G3" s="36" t="s">
        <v>38</v>
      </c>
      <c r="H3" s="32" t="s">
        <v>31</v>
      </c>
      <c r="I3" s="7" t="s">
        <v>34</v>
      </c>
      <c r="J3" s="7" t="s">
        <v>32</v>
      </c>
      <c r="K3" s="7" t="s">
        <v>37</v>
      </c>
      <c r="L3" s="19" t="s">
        <v>29</v>
      </c>
    </row>
    <row r="4" spans="1:13">
      <c r="A4" s="21" t="s">
        <v>39</v>
      </c>
      <c r="B4" s="23">
        <f>SUM(B5:B11)</f>
        <v>14930</v>
      </c>
      <c r="C4" s="23">
        <f>SUM(C5:C11)</f>
        <v>114329</v>
      </c>
      <c r="D4" s="23">
        <f t="shared" ref="D4" si="1">SUM(D5:D11)</f>
        <v>7326430</v>
      </c>
      <c r="E4" s="37">
        <f t="shared" ref="E4:E9" si="2">ROUND(D4/B4,0)</f>
        <v>491</v>
      </c>
      <c r="F4" s="38">
        <f t="shared" ref="F4:F25" si="3">ROUND($E$25/E4,3)</f>
        <v>1.0389999999999999</v>
      </c>
      <c r="G4" s="39">
        <f>SUM(G5:G11)</f>
        <v>16948</v>
      </c>
      <c r="H4" s="31">
        <f>ROUND($H$2/4,0)</f>
        <v>150000</v>
      </c>
      <c r="I4" s="43">
        <f>ROUND(B4/B$25*I$2,2)</f>
        <v>502436.17</v>
      </c>
      <c r="J4" s="43">
        <f>ROUND(C4/C$25*J$2,2)</f>
        <v>314900.14</v>
      </c>
      <c r="K4" s="43">
        <f>ROUND(G4/G$25*K$2,2)</f>
        <v>117314.26</v>
      </c>
      <c r="L4" s="45">
        <f>SUM(H4:K4)</f>
        <v>1084650.5699999998</v>
      </c>
      <c r="M4" s="52">
        <f>L4/B4</f>
        <v>72.649066979236423</v>
      </c>
    </row>
    <row r="5" spans="1:13">
      <c r="A5" s="22" t="s">
        <v>3</v>
      </c>
      <c r="B5" s="2">
        <v>1351</v>
      </c>
      <c r="C5" s="6">
        <v>12837.7</v>
      </c>
      <c r="D5" s="3">
        <v>493738</v>
      </c>
      <c r="E5" s="40">
        <f t="shared" si="2"/>
        <v>365</v>
      </c>
      <c r="F5" s="41">
        <f t="shared" si="3"/>
        <v>1.397</v>
      </c>
      <c r="G5" s="42">
        <f>ROUND(F5*B5,0)</f>
        <v>1887</v>
      </c>
      <c r="H5" s="33"/>
      <c r="I5" s="19"/>
      <c r="J5" s="19"/>
      <c r="K5" s="19"/>
      <c r="L5" s="19"/>
      <c r="M5" s="52"/>
    </row>
    <row r="6" spans="1:13">
      <c r="A6" s="22" t="s">
        <v>12</v>
      </c>
      <c r="B6" s="2">
        <v>730</v>
      </c>
      <c r="C6" s="6">
        <v>3095.3</v>
      </c>
      <c r="D6" s="3">
        <v>146054</v>
      </c>
      <c r="E6" s="40">
        <f t="shared" si="2"/>
        <v>200</v>
      </c>
      <c r="F6" s="41">
        <f t="shared" si="3"/>
        <v>2.5499999999999998</v>
      </c>
      <c r="G6" s="42">
        <f t="shared" ref="G6:G24" si="4">ROUND(F6*B6,0)</f>
        <v>1862</v>
      </c>
      <c r="H6" s="33"/>
      <c r="I6" s="19"/>
      <c r="J6" s="19"/>
      <c r="K6" s="19"/>
      <c r="L6" s="19"/>
      <c r="M6" s="52"/>
    </row>
    <row r="7" spans="1:13">
      <c r="A7" s="22" t="s">
        <v>24</v>
      </c>
      <c r="B7" s="2">
        <v>952</v>
      </c>
      <c r="C7" s="8">
        <v>192.6</v>
      </c>
      <c r="D7" s="3">
        <v>265902</v>
      </c>
      <c r="E7" s="40">
        <f t="shared" si="2"/>
        <v>279</v>
      </c>
      <c r="F7" s="41">
        <f t="shared" si="3"/>
        <v>1.8280000000000001</v>
      </c>
      <c r="G7" s="42">
        <f t="shared" si="4"/>
        <v>1740</v>
      </c>
      <c r="H7" s="33"/>
      <c r="I7" s="19"/>
      <c r="J7" s="19"/>
      <c r="K7" s="19"/>
      <c r="L7" s="19"/>
      <c r="M7" s="52"/>
    </row>
    <row r="8" spans="1:13">
      <c r="A8" s="22" t="s">
        <v>7</v>
      </c>
      <c r="B8" s="2">
        <v>817</v>
      </c>
      <c r="C8" s="6">
        <v>23318.3</v>
      </c>
      <c r="D8" s="3">
        <v>411668</v>
      </c>
      <c r="E8" s="40">
        <f t="shared" si="2"/>
        <v>504</v>
      </c>
      <c r="F8" s="41">
        <f t="shared" si="3"/>
        <v>1.012</v>
      </c>
      <c r="G8" s="42">
        <f>ROUND(F8*B8,0)</f>
        <v>827</v>
      </c>
      <c r="H8" s="33"/>
      <c r="I8" s="19"/>
      <c r="J8" s="19"/>
      <c r="K8" s="19"/>
      <c r="L8" s="19"/>
      <c r="M8" s="52"/>
    </row>
    <row r="9" spans="1:13">
      <c r="A9" s="22" t="s">
        <v>22</v>
      </c>
      <c r="B9" s="2">
        <v>6549</v>
      </c>
      <c r="C9" s="6">
        <v>30025.7</v>
      </c>
      <c r="D9" s="3">
        <v>3656009</v>
      </c>
      <c r="E9" s="40">
        <f t="shared" si="2"/>
        <v>558</v>
      </c>
      <c r="F9" s="41">
        <f t="shared" si="3"/>
        <v>0.91400000000000003</v>
      </c>
      <c r="G9" s="42">
        <f t="shared" si="4"/>
        <v>5986</v>
      </c>
      <c r="H9" s="33"/>
      <c r="I9" s="19"/>
      <c r="J9" s="19"/>
      <c r="K9" s="19"/>
      <c r="L9" s="19"/>
      <c r="M9" s="52"/>
    </row>
    <row r="10" spans="1:13">
      <c r="A10" s="22" t="s">
        <v>17</v>
      </c>
      <c r="B10" s="2">
        <v>2594</v>
      </c>
      <c r="C10" s="6">
        <v>11478.9</v>
      </c>
      <c r="D10" s="3">
        <v>1577515</v>
      </c>
      <c r="E10" s="40">
        <f t="shared" ref="E10" si="5">ROUND(D10/B10,0)</f>
        <v>608</v>
      </c>
      <c r="F10" s="41">
        <f t="shared" si="3"/>
        <v>0.83899999999999997</v>
      </c>
      <c r="G10" s="42">
        <f t="shared" ref="G10" si="6">ROUND(F10*B10,0)</f>
        <v>2176</v>
      </c>
      <c r="H10" s="33"/>
      <c r="I10" s="19"/>
      <c r="J10" s="19"/>
      <c r="K10" s="19"/>
      <c r="L10" s="19"/>
      <c r="M10" s="52"/>
    </row>
    <row r="11" spans="1:13">
      <c r="A11" s="22" t="s">
        <v>18</v>
      </c>
      <c r="B11" s="2">
        <v>1937</v>
      </c>
      <c r="C11" s="6">
        <v>33380.5</v>
      </c>
      <c r="D11" s="3">
        <v>775544</v>
      </c>
      <c r="E11" s="40">
        <f t="shared" ref="E11:E20" si="7">ROUND(D11/B11,0)</f>
        <v>400</v>
      </c>
      <c r="F11" s="41">
        <f t="shared" si="3"/>
        <v>1.2749999999999999</v>
      </c>
      <c r="G11" s="42">
        <f t="shared" si="4"/>
        <v>2470</v>
      </c>
      <c r="H11" s="33"/>
      <c r="I11" s="19"/>
      <c r="J11" s="19"/>
      <c r="K11" s="19"/>
      <c r="L11" s="19"/>
      <c r="M11" s="52"/>
    </row>
    <row r="12" spans="1:13">
      <c r="A12" s="20" t="s">
        <v>28</v>
      </c>
      <c r="B12" s="23">
        <f>SUM(B13:B16)</f>
        <v>7297</v>
      </c>
      <c r="C12" s="23">
        <f t="shared" ref="C12:D12" si="8">SUM(C13:C16)</f>
        <v>64112.6</v>
      </c>
      <c r="D12" s="23">
        <f t="shared" si="8"/>
        <v>3466624</v>
      </c>
      <c r="E12" s="37">
        <f t="shared" si="7"/>
        <v>475</v>
      </c>
      <c r="F12" s="38">
        <f t="shared" si="3"/>
        <v>1.0740000000000001</v>
      </c>
      <c r="G12" s="39">
        <f>SUM(G13:G16)</f>
        <v>8103</v>
      </c>
      <c r="H12" s="31">
        <f>ROUND($H$2/4,0)</f>
        <v>150000</v>
      </c>
      <c r="I12" s="43">
        <f>ROUND(B12/B$25*I$2,2)</f>
        <v>245564.42</v>
      </c>
      <c r="J12" s="43">
        <f>ROUND(C12/C$25*J$2,2)</f>
        <v>176587.45</v>
      </c>
      <c r="K12" s="43">
        <f>ROUND(G12/G$25*K$2,2)</f>
        <v>56089.06</v>
      </c>
      <c r="L12" s="45">
        <f>SUM(H12:K12)</f>
        <v>628240.93000000017</v>
      </c>
      <c r="M12" s="52">
        <f t="shared" ref="M5:M25" si="9">L12/B12</f>
        <v>86.095783198574779</v>
      </c>
    </row>
    <row r="13" spans="1:13">
      <c r="A13" s="22" t="s">
        <v>8</v>
      </c>
      <c r="B13" s="2">
        <v>3899</v>
      </c>
      <c r="C13" s="6">
        <v>13154.4</v>
      </c>
      <c r="D13" s="3">
        <v>2144668</v>
      </c>
      <c r="E13" s="40">
        <f t="shared" si="7"/>
        <v>550</v>
      </c>
      <c r="F13" s="41">
        <f t="shared" si="3"/>
        <v>0.92700000000000005</v>
      </c>
      <c r="G13" s="42">
        <f t="shared" si="4"/>
        <v>3614</v>
      </c>
      <c r="H13" s="33"/>
      <c r="I13" s="19"/>
      <c r="J13" s="19"/>
      <c r="K13" s="19"/>
      <c r="L13" s="19"/>
      <c r="M13" s="52"/>
    </row>
    <row r="14" spans="1:13">
      <c r="A14" s="22" t="s">
        <v>9</v>
      </c>
      <c r="B14" s="2">
        <v>622</v>
      </c>
      <c r="C14" s="6">
        <v>14347.9</v>
      </c>
      <c r="D14" s="3">
        <v>214192</v>
      </c>
      <c r="E14" s="40">
        <f t="shared" si="7"/>
        <v>344</v>
      </c>
      <c r="F14" s="41">
        <f t="shared" si="3"/>
        <v>1.4830000000000001</v>
      </c>
      <c r="G14" s="42">
        <f t="shared" si="4"/>
        <v>922</v>
      </c>
      <c r="H14" s="33"/>
      <c r="I14" s="19"/>
      <c r="J14" s="19"/>
      <c r="K14" s="19"/>
      <c r="L14" s="19"/>
      <c r="M14" s="52"/>
    </row>
    <row r="15" spans="1:13">
      <c r="A15" s="22" t="s">
        <v>10</v>
      </c>
      <c r="B15" s="2">
        <v>1674</v>
      </c>
      <c r="C15" s="6">
        <v>13347.2</v>
      </c>
      <c r="D15" s="3">
        <v>707698</v>
      </c>
      <c r="E15" s="40">
        <f t="shared" si="7"/>
        <v>423</v>
      </c>
      <c r="F15" s="41">
        <f t="shared" si="3"/>
        <v>1.206</v>
      </c>
      <c r="G15" s="42">
        <f t="shared" si="4"/>
        <v>2019</v>
      </c>
      <c r="H15" s="33"/>
      <c r="I15" s="19"/>
      <c r="J15" s="19"/>
      <c r="K15" s="19"/>
      <c r="L15" s="19"/>
      <c r="M15" s="52"/>
    </row>
    <row r="16" spans="1:13">
      <c r="A16" s="22" t="s">
        <v>19</v>
      </c>
      <c r="B16" s="2">
        <v>1102</v>
      </c>
      <c r="C16" s="6">
        <v>23263.1</v>
      </c>
      <c r="D16" s="3">
        <v>400066</v>
      </c>
      <c r="E16" s="40">
        <f t="shared" si="7"/>
        <v>363</v>
      </c>
      <c r="F16" s="41">
        <f t="shared" si="3"/>
        <v>1.405</v>
      </c>
      <c r="G16" s="42">
        <f t="shared" si="4"/>
        <v>1548</v>
      </c>
      <c r="H16" s="33"/>
      <c r="I16" s="19"/>
      <c r="J16" s="19"/>
      <c r="K16" s="19"/>
      <c r="L16" s="19"/>
      <c r="M16" s="52"/>
    </row>
    <row r="17" spans="1:13">
      <c r="A17" s="20" t="s">
        <v>41</v>
      </c>
      <c r="B17" s="23">
        <f>SUM(B18:B20)</f>
        <v>11045</v>
      </c>
      <c r="C17" s="23">
        <f t="shared" ref="C17:D17" si="10">SUM(C18:C20)</f>
        <v>38558.200000000004</v>
      </c>
      <c r="D17" s="23">
        <f t="shared" si="10"/>
        <v>6425550</v>
      </c>
      <c r="E17" s="37">
        <f t="shared" si="7"/>
        <v>582</v>
      </c>
      <c r="F17" s="38">
        <f t="shared" si="3"/>
        <v>0.876</v>
      </c>
      <c r="G17" s="39">
        <f>SUM(G18:G20)</f>
        <v>9988</v>
      </c>
      <c r="H17" s="31">
        <f>ROUND($H$2/4,0)</f>
        <v>150000</v>
      </c>
      <c r="I17" s="43">
        <f>ROUND(B17/B$25*I$2,2)</f>
        <v>371695.08</v>
      </c>
      <c r="J17" s="43">
        <f>ROUND(C17/C$25*J$2,2)</f>
        <v>106202.12</v>
      </c>
      <c r="K17" s="43">
        <f>ROUND(G17/G$25*K$2,2)</f>
        <v>69137.06</v>
      </c>
      <c r="L17" s="45">
        <f>SUM(H17:K17)</f>
        <v>697034.26</v>
      </c>
      <c r="M17" s="52">
        <f t="shared" si="9"/>
        <v>63.1085794477139</v>
      </c>
    </row>
    <row r="18" spans="1:13">
      <c r="A18" s="22" t="s">
        <v>4</v>
      </c>
      <c r="B18" s="2">
        <v>1924</v>
      </c>
      <c r="C18" s="6">
        <v>11001.6</v>
      </c>
      <c r="D18" s="3">
        <v>965213</v>
      </c>
      <c r="E18" s="40">
        <f t="shared" si="7"/>
        <v>502</v>
      </c>
      <c r="F18" s="41">
        <f t="shared" si="3"/>
        <v>1.016</v>
      </c>
      <c r="G18" s="42">
        <f t="shared" si="4"/>
        <v>1955</v>
      </c>
      <c r="H18" s="33"/>
      <c r="I18" s="19"/>
      <c r="J18" s="19"/>
      <c r="K18" s="19"/>
      <c r="L18" s="19"/>
      <c r="M18" s="52"/>
    </row>
    <row r="19" spans="1:13">
      <c r="A19" s="22" t="s">
        <v>5</v>
      </c>
      <c r="B19" s="2">
        <v>2615</v>
      </c>
      <c r="C19" s="6">
        <v>18921.7</v>
      </c>
      <c r="D19" s="3">
        <v>1153703</v>
      </c>
      <c r="E19" s="40">
        <f t="shared" si="7"/>
        <v>441</v>
      </c>
      <c r="F19" s="41">
        <f t="shared" si="3"/>
        <v>1.1559999999999999</v>
      </c>
      <c r="G19" s="42">
        <f t="shared" si="4"/>
        <v>3023</v>
      </c>
      <c r="H19" s="33"/>
      <c r="I19" s="19"/>
      <c r="J19" s="19"/>
      <c r="K19" s="19"/>
      <c r="L19" s="19"/>
      <c r="M19" s="52"/>
    </row>
    <row r="20" spans="1:13">
      <c r="A20" s="22" t="s">
        <v>20</v>
      </c>
      <c r="B20" s="2">
        <v>6506</v>
      </c>
      <c r="C20" s="6">
        <v>8634.9</v>
      </c>
      <c r="D20" s="3">
        <v>4306634</v>
      </c>
      <c r="E20" s="40">
        <f t="shared" si="7"/>
        <v>662</v>
      </c>
      <c r="F20" s="41">
        <f t="shared" si="3"/>
        <v>0.77</v>
      </c>
      <c r="G20" s="42">
        <f t="shared" si="4"/>
        <v>5010</v>
      </c>
      <c r="H20" s="33"/>
      <c r="I20" s="19"/>
      <c r="J20" s="19"/>
      <c r="K20" s="19"/>
      <c r="L20" s="19"/>
      <c r="M20" s="52"/>
    </row>
    <row r="21" spans="1:13">
      <c r="A21" s="20" t="s">
        <v>26</v>
      </c>
      <c r="B21" s="23">
        <f>SUM(B22:B24)</f>
        <v>7735</v>
      </c>
      <c r="C21" s="23">
        <f>SUM(C22:C24)</f>
        <v>44406.5</v>
      </c>
      <c r="D21" s="23">
        <f>SUM(D22:D24)</f>
        <v>3707475</v>
      </c>
      <c r="E21" s="37">
        <f t="shared" ref="E21:E25" si="11">ROUND(D21/B21,0)</f>
        <v>479</v>
      </c>
      <c r="F21" s="38">
        <f t="shared" si="3"/>
        <v>1.0649999999999999</v>
      </c>
      <c r="G21" s="39">
        <f>SUM(G22:G24)</f>
        <v>8301</v>
      </c>
      <c r="H21" s="31">
        <f>ROUND($H$2/4,0)</f>
        <v>150000</v>
      </c>
      <c r="I21" s="43">
        <f>ROUND(B21/B$25*I$2,2)</f>
        <v>260304.34</v>
      </c>
      <c r="J21" s="43">
        <f>ROUND(C21/C$25*J$2,2)</f>
        <v>122310.29</v>
      </c>
      <c r="K21" s="43">
        <f>ROUND(G21/G$25*K$2,2)</f>
        <v>57459.62</v>
      </c>
      <c r="L21" s="45">
        <f>SUM(H21:K21)</f>
        <v>590074.25</v>
      </c>
      <c r="M21" s="52">
        <f t="shared" si="9"/>
        <v>76.286263736263734</v>
      </c>
    </row>
    <row r="22" spans="1:13">
      <c r="A22" s="22" t="s">
        <v>6</v>
      </c>
      <c r="B22" s="2">
        <v>1451</v>
      </c>
      <c r="C22" s="6">
        <v>10760.4</v>
      </c>
      <c r="D22" s="3">
        <v>631358</v>
      </c>
      <c r="E22" s="40">
        <f t="shared" si="11"/>
        <v>435</v>
      </c>
      <c r="F22" s="41">
        <f t="shared" si="3"/>
        <v>1.1719999999999999</v>
      </c>
      <c r="G22" s="42">
        <f t="shared" si="4"/>
        <v>1701</v>
      </c>
      <c r="H22" s="33"/>
      <c r="I22" s="19"/>
      <c r="J22" s="19"/>
      <c r="K22" s="19"/>
      <c r="L22" s="19"/>
      <c r="M22" s="52"/>
    </row>
    <row r="23" spans="1:13">
      <c r="A23" s="22" t="s">
        <v>11</v>
      </c>
      <c r="B23" s="2">
        <v>3962</v>
      </c>
      <c r="C23" s="6">
        <v>16892</v>
      </c>
      <c r="D23" s="3">
        <v>2066175</v>
      </c>
      <c r="E23" s="40">
        <f t="shared" si="11"/>
        <v>521</v>
      </c>
      <c r="F23" s="41">
        <f t="shared" si="3"/>
        <v>0.97899999999999998</v>
      </c>
      <c r="G23" s="42">
        <f t="shared" si="4"/>
        <v>3879</v>
      </c>
      <c r="H23" s="33"/>
      <c r="I23" s="19"/>
      <c r="J23" s="19"/>
      <c r="K23" s="19"/>
      <c r="L23" s="19"/>
      <c r="M23" s="52"/>
    </row>
    <row r="24" spans="1:13">
      <c r="A24" s="22" t="s">
        <v>14</v>
      </c>
      <c r="B24" s="2">
        <v>2322</v>
      </c>
      <c r="C24" s="6">
        <v>16754.099999999999</v>
      </c>
      <c r="D24" s="3">
        <v>1009942</v>
      </c>
      <c r="E24" s="40">
        <f t="shared" si="11"/>
        <v>435</v>
      </c>
      <c r="F24" s="41">
        <f t="shared" si="3"/>
        <v>1.1719999999999999</v>
      </c>
      <c r="G24" s="42">
        <f t="shared" si="4"/>
        <v>2721</v>
      </c>
      <c r="H24" s="33"/>
      <c r="I24" s="19"/>
      <c r="J24" s="19"/>
      <c r="K24" s="19"/>
      <c r="L24" s="19"/>
      <c r="M24" s="52"/>
    </row>
    <row r="25" spans="1:13">
      <c r="A25" s="21" t="s">
        <v>29</v>
      </c>
      <c r="B25" s="23">
        <f>B4+B12+B17+B21</f>
        <v>41007</v>
      </c>
      <c r="C25" s="23">
        <f t="shared" ref="C25:D25" si="12">C4+C12+C17+C21</f>
        <v>261406.30000000002</v>
      </c>
      <c r="D25" s="23">
        <f t="shared" si="12"/>
        <v>20926079</v>
      </c>
      <c r="E25" s="37">
        <f t="shared" si="11"/>
        <v>510</v>
      </c>
      <c r="F25" s="38">
        <f t="shared" si="3"/>
        <v>1</v>
      </c>
      <c r="G25" s="39">
        <f>G4+G12+G17+G21</f>
        <v>43340</v>
      </c>
      <c r="H25" s="34">
        <f>H4+H12+H17+H21</f>
        <v>600000</v>
      </c>
      <c r="I25" s="30">
        <f t="shared" ref="I25:L25" si="13">I4+I12+I17+I21</f>
        <v>1380000.01</v>
      </c>
      <c r="J25" s="30">
        <f t="shared" si="13"/>
        <v>720000</v>
      </c>
      <c r="K25" s="30">
        <f t="shared" si="13"/>
        <v>300000</v>
      </c>
      <c r="L25" s="30">
        <f t="shared" si="13"/>
        <v>3000000.01</v>
      </c>
      <c r="M25" s="52">
        <f t="shared" si="9"/>
        <v>73.158241519740528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F36" sqref="F36"/>
    </sheetView>
  </sheetViews>
  <sheetFormatPr baseColWidth="10" defaultColWidth="8.83203125" defaultRowHeight="13" x14ac:dyDescent="0"/>
  <cols>
    <col min="1" max="1" width="22.83203125" style="18" customWidth="1"/>
    <col min="2" max="2" width="12.83203125" style="18" bestFit="1" customWidth="1"/>
    <col min="3" max="3" width="12" style="18" customWidth="1"/>
    <col min="4" max="4" width="15" style="18" customWidth="1"/>
    <col min="5" max="5" width="12" style="18" bestFit="1" customWidth="1"/>
    <col min="6" max="6" width="9" style="18" customWidth="1"/>
    <col min="7" max="7" width="11.83203125" style="18" customWidth="1"/>
    <col min="8" max="8" width="12" style="18" customWidth="1"/>
    <col min="9" max="9" width="16.33203125" style="18" bestFit="1" customWidth="1"/>
    <col min="10" max="11" width="14.5" style="18" bestFit="1" customWidth="1"/>
    <col min="12" max="12" width="16.33203125" style="18" bestFit="1" customWidth="1"/>
    <col min="13" max="13" width="8.83203125" style="48"/>
    <col min="14" max="16384" width="8.83203125" style="18"/>
  </cols>
  <sheetData>
    <row r="1" spans="1:13">
      <c r="A1" s="24" t="s">
        <v>30</v>
      </c>
      <c r="B1" s="25">
        <v>3000000</v>
      </c>
      <c r="E1" s="29" t="s">
        <v>33</v>
      </c>
      <c r="F1" s="29"/>
      <c r="G1" s="29"/>
      <c r="H1" s="28">
        <v>0</v>
      </c>
      <c r="I1" s="28">
        <v>0.5</v>
      </c>
      <c r="J1" s="28">
        <v>0.25</v>
      </c>
      <c r="K1" s="28">
        <v>0.25</v>
      </c>
      <c r="L1" s="26">
        <f>SUM(H1:K1)</f>
        <v>1</v>
      </c>
    </row>
    <row r="2" spans="1:13">
      <c r="H2" s="27">
        <f>$B$1*H1</f>
        <v>0</v>
      </c>
      <c r="I2" s="27">
        <f t="shared" ref="I2:K2" si="0">$B$1*I1</f>
        <v>1500000</v>
      </c>
      <c r="J2" s="27">
        <f t="shared" si="0"/>
        <v>750000</v>
      </c>
      <c r="K2" s="27">
        <f t="shared" si="0"/>
        <v>750000</v>
      </c>
      <c r="L2" s="27">
        <f>SUM(H2:K2)</f>
        <v>3000000</v>
      </c>
      <c r="M2" s="48" t="s">
        <v>43</v>
      </c>
    </row>
    <row r="3" spans="1:13" ht="39">
      <c r="A3" s="19"/>
      <c r="B3" s="7" t="s">
        <v>2</v>
      </c>
      <c r="C3" s="7" t="s">
        <v>21</v>
      </c>
      <c r="D3" s="7" t="s">
        <v>1</v>
      </c>
      <c r="E3" s="35" t="s">
        <v>35</v>
      </c>
      <c r="F3" s="36" t="s">
        <v>36</v>
      </c>
      <c r="G3" s="36" t="s">
        <v>38</v>
      </c>
      <c r="H3" s="32" t="s">
        <v>31</v>
      </c>
      <c r="I3" s="7" t="s">
        <v>34</v>
      </c>
      <c r="J3" s="7" t="s">
        <v>32</v>
      </c>
      <c r="K3" s="7" t="s">
        <v>37</v>
      </c>
      <c r="L3" s="19" t="s">
        <v>29</v>
      </c>
    </row>
    <row r="4" spans="1:13">
      <c r="A4" s="21" t="s">
        <v>44</v>
      </c>
      <c r="B4" s="23">
        <f>SUM(B5:B8)</f>
        <v>4970</v>
      </c>
      <c r="C4" s="23">
        <f>SUM(C5:C8)</f>
        <v>49506.1</v>
      </c>
      <c r="D4" s="23">
        <f>SUM(D5:D8)</f>
        <v>1681238</v>
      </c>
      <c r="E4" s="37">
        <f t="shared" ref="E4:E26" si="1">ROUND(D4/B4,0)</f>
        <v>338</v>
      </c>
      <c r="F4" s="38">
        <f t="shared" ref="F4:F26" si="2">ROUND($E$26/E4,3)</f>
        <v>1.5089999999999999</v>
      </c>
      <c r="G4" s="39">
        <f>SUM(G5:G8)</f>
        <v>7959</v>
      </c>
      <c r="H4" s="31">
        <f>ROUND($H$2/5,0)</f>
        <v>0</v>
      </c>
      <c r="I4" s="43">
        <f>ROUND(B4/B$26*I$2,2)</f>
        <v>181798.23</v>
      </c>
      <c r="J4" s="43">
        <f>ROUND(C4/C$26*J$2,2)</f>
        <v>142037.79999999999</v>
      </c>
      <c r="K4" s="43">
        <f>ROUND(G4/G$26*K$2,2)</f>
        <v>137730.73000000001</v>
      </c>
      <c r="L4" s="45">
        <f>SUM(H4:K4)</f>
        <v>461566.76</v>
      </c>
      <c r="M4" s="53">
        <f>L4/B4</f>
        <v>92.870575452716295</v>
      </c>
    </row>
    <row r="5" spans="1:13">
      <c r="A5" s="22" t="s">
        <v>3</v>
      </c>
      <c r="B5" s="2">
        <v>1351</v>
      </c>
      <c r="C5" s="6">
        <v>12837.7</v>
      </c>
      <c r="D5" s="3">
        <v>493738</v>
      </c>
      <c r="E5" s="40">
        <f t="shared" si="1"/>
        <v>365</v>
      </c>
      <c r="F5" s="41">
        <f t="shared" si="2"/>
        <v>1.397</v>
      </c>
      <c r="G5" s="42">
        <f>ROUND(F5*B5,0)</f>
        <v>1887</v>
      </c>
      <c r="H5" s="33"/>
      <c r="I5" s="19"/>
      <c r="J5" s="19"/>
      <c r="K5" s="19"/>
      <c r="L5" s="19"/>
    </row>
    <row r="6" spans="1:13">
      <c r="A6" s="22" t="s">
        <v>12</v>
      </c>
      <c r="B6" s="2">
        <v>730</v>
      </c>
      <c r="C6" s="6">
        <v>3095.3</v>
      </c>
      <c r="D6" s="3">
        <v>146054</v>
      </c>
      <c r="E6" s="40">
        <f t="shared" si="1"/>
        <v>200</v>
      </c>
      <c r="F6" s="41">
        <f t="shared" si="2"/>
        <v>2.5499999999999998</v>
      </c>
      <c r="G6" s="42">
        <f t="shared" ref="G6:G25" si="3">ROUND(F6*B6,0)</f>
        <v>1862</v>
      </c>
      <c r="H6" s="33"/>
      <c r="I6" s="19"/>
      <c r="J6" s="19"/>
      <c r="K6" s="19"/>
      <c r="L6" s="19"/>
    </row>
    <row r="7" spans="1:13">
      <c r="A7" s="22" t="s">
        <v>24</v>
      </c>
      <c r="B7" s="2">
        <v>952</v>
      </c>
      <c r="C7" s="8">
        <v>192.6</v>
      </c>
      <c r="D7" s="3">
        <v>265902</v>
      </c>
      <c r="E7" s="40">
        <f t="shared" si="1"/>
        <v>279</v>
      </c>
      <c r="F7" s="41">
        <f t="shared" si="2"/>
        <v>1.8280000000000001</v>
      </c>
      <c r="G7" s="42">
        <f t="shared" si="3"/>
        <v>1740</v>
      </c>
      <c r="H7" s="33"/>
      <c r="I7" s="19"/>
      <c r="J7" s="19"/>
      <c r="K7" s="19"/>
      <c r="L7" s="19"/>
    </row>
    <row r="8" spans="1:13">
      <c r="A8" s="22" t="s">
        <v>18</v>
      </c>
      <c r="B8" s="2">
        <v>1937</v>
      </c>
      <c r="C8" s="6">
        <v>33380.5</v>
      </c>
      <c r="D8" s="3">
        <v>775544</v>
      </c>
      <c r="E8" s="40">
        <f t="shared" si="1"/>
        <v>400</v>
      </c>
      <c r="F8" s="41">
        <f t="shared" si="2"/>
        <v>1.2749999999999999</v>
      </c>
      <c r="G8" s="42">
        <f t="shared" si="3"/>
        <v>2470</v>
      </c>
      <c r="H8" s="33"/>
      <c r="I8" s="19"/>
      <c r="J8" s="19"/>
      <c r="K8" s="19"/>
      <c r="L8" s="19"/>
    </row>
    <row r="9" spans="1:13">
      <c r="A9" s="21" t="s">
        <v>45</v>
      </c>
      <c r="B9" s="50">
        <f>SUM(B10:B12)</f>
        <v>9960</v>
      </c>
      <c r="C9" s="50">
        <f>SUM(C10:C12)</f>
        <v>64822.9</v>
      </c>
      <c r="D9" s="50">
        <f>SUM(D10:D12)</f>
        <v>5645192</v>
      </c>
      <c r="E9" s="37">
        <f t="shared" si="1"/>
        <v>567</v>
      </c>
      <c r="F9" s="38">
        <f t="shared" si="2"/>
        <v>0.89900000000000002</v>
      </c>
      <c r="G9" s="51">
        <f>SUM(G10:G12)</f>
        <v>8989</v>
      </c>
      <c r="H9" s="31">
        <f>ROUND($H$2/5,0)</f>
        <v>0</v>
      </c>
      <c r="I9" s="43">
        <f>ROUND(B9/B$26*I$2,2)</f>
        <v>364328.04</v>
      </c>
      <c r="J9" s="43">
        <f>ROUND(C9/C$26*J$2,2)</f>
        <v>185983.18</v>
      </c>
      <c r="K9" s="43">
        <f>ROUND(G9/G$26*K$2,2)</f>
        <v>155554.91</v>
      </c>
      <c r="L9" s="45">
        <f>SUM(H9:K9)</f>
        <v>705866.13</v>
      </c>
      <c r="M9" s="53">
        <f>L9/B9</f>
        <v>70.870093373493972</v>
      </c>
    </row>
    <row r="10" spans="1:13">
      <c r="A10" s="22" t="s">
        <v>22</v>
      </c>
      <c r="B10" s="2">
        <v>6549</v>
      </c>
      <c r="C10" s="6">
        <v>30025.7</v>
      </c>
      <c r="D10" s="3">
        <v>3656009</v>
      </c>
      <c r="E10" s="40">
        <f>ROUND(D10/B10,0)</f>
        <v>558</v>
      </c>
      <c r="F10" s="41">
        <f t="shared" si="2"/>
        <v>0.91400000000000003</v>
      </c>
      <c r="G10" s="42">
        <f>ROUND(F10*B10,0)</f>
        <v>5986</v>
      </c>
      <c r="H10" s="33"/>
      <c r="I10" s="19"/>
      <c r="J10" s="19"/>
      <c r="K10" s="19"/>
      <c r="L10" s="19"/>
    </row>
    <row r="11" spans="1:13">
      <c r="A11" s="22" t="s">
        <v>7</v>
      </c>
      <c r="B11" s="2">
        <v>817</v>
      </c>
      <c r="C11" s="6">
        <v>23318.3</v>
      </c>
      <c r="D11" s="3">
        <v>411668</v>
      </c>
      <c r="E11" s="40">
        <f>ROUND(D11/B11,0)</f>
        <v>504</v>
      </c>
      <c r="F11" s="41">
        <f t="shared" si="2"/>
        <v>1.012</v>
      </c>
      <c r="G11" s="42">
        <f>ROUND(F11*B11,0)</f>
        <v>827</v>
      </c>
      <c r="H11" s="33"/>
      <c r="I11" s="19"/>
      <c r="J11" s="19"/>
      <c r="K11" s="19"/>
      <c r="L11" s="19"/>
    </row>
    <row r="12" spans="1:13">
      <c r="A12" s="22" t="s">
        <v>17</v>
      </c>
      <c r="B12" s="2">
        <v>2594</v>
      </c>
      <c r="C12" s="6">
        <v>11478.9</v>
      </c>
      <c r="D12" s="3">
        <v>1577515</v>
      </c>
      <c r="E12" s="40">
        <f>ROUND(D12/B12,0)</f>
        <v>608</v>
      </c>
      <c r="F12" s="41">
        <f t="shared" si="2"/>
        <v>0.83899999999999997</v>
      </c>
      <c r="G12" s="42">
        <f>ROUND(F12*B12,0)</f>
        <v>2176</v>
      </c>
      <c r="H12" s="33"/>
      <c r="I12" s="19"/>
      <c r="J12" s="19"/>
      <c r="K12" s="19"/>
      <c r="L12" s="19"/>
    </row>
    <row r="13" spans="1:13">
      <c r="A13" s="20" t="s">
        <v>28</v>
      </c>
      <c r="B13" s="23">
        <f>SUM(B14:B17)</f>
        <v>7297</v>
      </c>
      <c r="C13" s="23">
        <f t="shared" ref="C13:D13" si="4">SUM(C14:C17)</f>
        <v>64112.6</v>
      </c>
      <c r="D13" s="23">
        <f t="shared" si="4"/>
        <v>3466624</v>
      </c>
      <c r="E13" s="37">
        <f t="shared" si="1"/>
        <v>475</v>
      </c>
      <c r="F13" s="38">
        <f t="shared" si="2"/>
        <v>1.0740000000000001</v>
      </c>
      <c r="G13" s="39">
        <f>SUM(G14:G17)</f>
        <v>8103</v>
      </c>
      <c r="H13" s="31">
        <f>ROUND($H$2/5,0)</f>
        <v>0</v>
      </c>
      <c r="I13" s="43">
        <f>ROUND(B13/B$26*I$2,2)</f>
        <v>266917.84000000003</v>
      </c>
      <c r="J13" s="43">
        <f>ROUND(C13/C$26*J$2,2)</f>
        <v>183945.26</v>
      </c>
      <c r="K13" s="43">
        <f>ROUND(G13/G$26*K$2,2)</f>
        <v>140222.66</v>
      </c>
      <c r="L13" s="45">
        <f>SUM(H13:K13)</f>
        <v>591085.76</v>
      </c>
      <c r="M13" s="53">
        <f>L13/B13</f>
        <v>81.003941345758534</v>
      </c>
    </row>
    <row r="14" spans="1:13">
      <c r="A14" s="22" t="s">
        <v>8</v>
      </c>
      <c r="B14" s="2">
        <v>3899</v>
      </c>
      <c r="C14" s="6">
        <v>13154.4</v>
      </c>
      <c r="D14" s="3">
        <v>2144668</v>
      </c>
      <c r="E14" s="40">
        <f t="shared" si="1"/>
        <v>550</v>
      </c>
      <c r="F14" s="41">
        <f t="shared" si="2"/>
        <v>0.92700000000000005</v>
      </c>
      <c r="G14" s="42">
        <f t="shared" si="3"/>
        <v>3614</v>
      </c>
      <c r="H14" s="33"/>
      <c r="I14" s="19"/>
      <c r="J14" s="19"/>
      <c r="K14" s="19"/>
      <c r="L14" s="19"/>
    </row>
    <row r="15" spans="1:13">
      <c r="A15" s="22" t="s">
        <v>9</v>
      </c>
      <c r="B15" s="2">
        <v>622</v>
      </c>
      <c r="C15" s="6">
        <v>14347.9</v>
      </c>
      <c r="D15" s="3">
        <v>214192</v>
      </c>
      <c r="E15" s="40">
        <f t="shared" si="1"/>
        <v>344</v>
      </c>
      <c r="F15" s="41">
        <f t="shared" si="2"/>
        <v>1.4830000000000001</v>
      </c>
      <c r="G15" s="42">
        <f t="shared" si="3"/>
        <v>922</v>
      </c>
      <c r="H15" s="33"/>
      <c r="I15" s="19"/>
      <c r="J15" s="19"/>
      <c r="K15" s="19"/>
      <c r="L15" s="19"/>
    </row>
    <row r="16" spans="1:13">
      <c r="A16" s="22" t="s">
        <v>10</v>
      </c>
      <c r="B16" s="2">
        <v>1674</v>
      </c>
      <c r="C16" s="6">
        <v>13347.2</v>
      </c>
      <c r="D16" s="3">
        <v>707698</v>
      </c>
      <c r="E16" s="40">
        <f t="shared" si="1"/>
        <v>423</v>
      </c>
      <c r="F16" s="41">
        <f t="shared" si="2"/>
        <v>1.206</v>
      </c>
      <c r="G16" s="42">
        <f t="shared" si="3"/>
        <v>2019</v>
      </c>
      <c r="H16" s="33"/>
      <c r="I16" s="19"/>
      <c r="J16" s="19"/>
      <c r="K16" s="19"/>
      <c r="L16" s="19"/>
    </row>
    <row r="17" spans="1:13">
      <c r="A17" s="22" t="s">
        <v>19</v>
      </c>
      <c r="B17" s="2">
        <v>1102</v>
      </c>
      <c r="C17" s="6">
        <v>23263.1</v>
      </c>
      <c r="D17" s="3">
        <v>400066</v>
      </c>
      <c r="E17" s="40">
        <f t="shared" si="1"/>
        <v>363</v>
      </c>
      <c r="F17" s="41">
        <f t="shared" si="2"/>
        <v>1.405</v>
      </c>
      <c r="G17" s="42">
        <f t="shared" si="3"/>
        <v>1548</v>
      </c>
      <c r="H17" s="33"/>
      <c r="I17" s="19"/>
      <c r="J17" s="19"/>
      <c r="K17" s="19"/>
      <c r="L17" s="19"/>
    </row>
    <row r="18" spans="1:13">
      <c r="A18" s="20" t="s">
        <v>41</v>
      </c>
      <c r="B18" s="23">
        <f>SUM(B19:B21)</f>
        <v>11045</v>
      </c>
      <c r="C18" s="23">
        <f t="shared" ref="C18:D18" si="5">SUM(C19:C21)</f>
        <v>38558.200000000004</v>
      </c>
      <c r="D18" s="23">
        <f t="shared" si="5"/>
        <v>6425550</v>
      </c>
      <c r="E18" s="37">
        <f t="shared" si="1"/>
        <v>582</v>
      </c>
      <c r="F18" s="38">
        <f t="shared" si="2"/>
        <v>0.876</v>
      </c>
      <c r="G18" s="39">
        <f>SUM(G19:G21)</f>
        <v>9988</v>
      </c>
      <c r="H18" s="31">
        <f>ROUND($H$2/5,0)</f>
        <v>0</v>
      </c>
      <c r="I18" s="43">
        <f>ROUND(B18/B$26*I$2,2)</f>
        <v>404016.39</v>
      </c>
      <c r="J18" s="43">
        <f>ROUND(C18/C$26*J$2,2)</f>
        <v>110627.21</v>
      </c>
      <c r="K18" s="43">
        <f>ROUND(G18/G$26*K$2,2)</f>
        <v>172842.64</v>
      </c>
      <c r="L18" s="45">
        <f>SUM(H18:K18)</f>
        <v>687486.24</v>
      </c>
      <c r="M18" s="53">
        <f>L18/B18</f>
        <v>62.244114078768675</v>
      </c>
    </row>
    <row r="19" spans="1:13">
      <c r="A19" s="22" t="s">
        <v>4</v>
      </c>
      <c r="B19" s="2">
        <v>1924</v>
      </c>
      <c r="C19" s="6">
        <v>11001.6</v>
      </c>
      <c r="D19" s="3">
        <v>965213</v>
      </c>
      <c r="E19" s="40">
        <f t="shared" si="1"/>
        <v>502</v>
      </c>
      <c r="F19" s="41">
        <f t="shared" si="2"/>
        <v>1.016</v>
      </c>
      <c r="G19" s="42">
        <f t="shared" si="3"/>
        <v>1955</v>
      </c>
      <c r="H19" s="33"/>
      <c r="I19" s="19"/>
      <c r="J19" s="19"/>
      <c r="K19" s="19"/>
      <c r="L19" s="19"/>
    </row>
    <row r="20" spans="1:13">
      <c r="A20" s="22" t="s">
        <v>5</v>
      </c>
      <c r="B20" s="2">
        <v>2615</v>
      </c>
      <c r="C20" s="6">
        <v>18921.7</v>
      </c>
      <c r="D20" s="3">
        <v>1153703</v>
      </c>
      <c r="E20" s="40">
        <f t="shared" si="1"/>
        <v>441</v>
      </c>
      <c r="F20" s="41">
        <f t="shared" si="2"/>
        <v>1.1559999999999999</v>
      </c>
      <c r="G20" s="42">
        <f t="shared" si="3"/>
        <v>3023</v>
      </c>
      <c r="H20" s="33"/>
      <c r="I20" s="19"/>
      <c r="J20" s="19"/>
      <c r="K20" s="19"/>
      <c r="L20" s="19"/>
    </row>
    <row r="21" spans="1:13">
      <c r="A21" s="22" t="s">
        <v>20</v>
      </c>
      <c r="B21" s="2">
        <v>6506</v>
      </c>
      <c r="C21" s="6">
        <v>8634.9</v>
      </c>
      <c r="D21" s="3">
        <v>4306634</v>
      </c>
      <c r="E21" s="40">
        <f t="shared" si="1"/>
        <v>662</v>
      </c>
      <c r="F21" s="41">
        <f t="shared" si="2"/>
        <v>0.77</v>
      </c>
      <c r="G21" s="42">
        <f t="shared" si="3"/>
        <v>5010</v>
      </c>
      <c r="H21" s="33"/>
      <c r="I21" s="19"/>
      <c r="J21" s="19"/>
      <c r="K21" s="19"/>
      <c r="L21" s="19"/>
    </row>
    <row r="22" spans="1:13">
      <c r="A22" s="20" t="s">
        <v>26</v>
      </c>
      <c r="B22" s="23">
        <f>SUM(B23:B25)</f>
        <v>7735</v>
      </c>
      <c r="C22" s="23">
        <f>SUM(C23:C25)</f>
        <v>44406.5</v>
      </c>
      <c r="D22" s="23">
        <f>SUM(D23:D25)</f>
        <v>3707475</v>
      </c>
      <c r="E22" s="37">
        <f t="shared" si="1"/>
        <v>479</v>
      </c>
      <c r="F22" s="38">
        <f t="shared" si="2"/>
        <v>1.0649999999999999</v>
      </c>
      <c r="G22" s="39">
        <f>SUM(G23:G25)</f>
        <v>8301</v>
      </c>
      <c r="H22" s="31">
        <f>ROUND($H$2/5,0)</f>
        <v>0</v>
      </c>
      <c r="I22" s="43">
        <f>ROUND(B22/B$26*I$2,2)</f>
        <v>282939.5</v>
      </c>
      <c r="J22" s="43">
        <f>ROUND(C22/C$26*J$2,2)</f>
        <v>127406.55</v>
      </c>
      <c r="K22" s="43">
        <f>ROUND(G22/G$26*K$2,2)</f>
        <v>143649.04999999999</v>
      </c>
      <c r="L22" s="45">
        <f>SUM(H22:K22)</f>
        <v>553995.1</v>
      </c>
      <c r="M22" s="53">
        <f>L22/B22</f>
        <v>71.621861667744014</v>
      </c>
    </row>
    <row r="23" spans="1:13">
      <c r="A23" s="22" t="s">
        <v>6</v>
      </c>
      <c r="B23" s="2">
        <v>1451</v>
      </c>
      <c r="C23" s="6">
        <v>10760.4</v>
      </c>
      <c r="D23" s="3">
        <v>631358</v>
      </c>
      <c r="E23" s="40">
        <f t="shared" si="1"/>
        <v>435</v>
      </c>
      <c r="F23" s="41">
        <f t="shared" si="2"/>
        <v>1.1719999999999999</v>
      </c>
      <c r="G23" s="42">
        <f t="shared" si="3"/>
        <v>1701</v>
      </c>
      <c r="H23" s="33"/>
      <c r="I23" s="19"/>
      <c r="J23" s="19"/>
      <c r="K23" s="19"/>
      <c r="L23" s="19"/>
      <c r="M23" s="53"/>
    </row>
    <row r="24" spans="1:13">
      <c r="A24" s="22" t="s">
        <v>11</v>
      </c>
      <c r="B24" s="2">
        <v>3962</v>
      </c>
      <c r="C24" s="6">
        <v>16892</v>
      </c>
      <c r="D24" s="3">
        <v>2066175</v>
      </c>
      <c r="E24" s="40">
        <f t="shared" si="1"/>
        <v>521</v>
      </c>
      <c r="F24" s="41">
        <f t="shared" si="2"/>
        <v>0.97899999999999998</v>
      </c>
      <c r="G24" s="42">
        <f t="shared" si="3"/>
        <v>3879</v>
      </c>
      <c r="H24" s="33"/>
      <c r="I24" s="19"/>
      <c r="J24" s="19"/>
      <c r="K24" s="19"/>
      <c r="L24" s="19"/>
      <c r="M24" s="53"/>
    </row>
    <row r="25" spans="1:13">
      <c r="A25" s="22" t="s">
        <v>14</v>
      </c>
      <c r="B25" s="2">
        <v>2322</v>
      </c>
      <c r="C25" s="6">
        <v>16754.099999999999</v>
      </c>
      <c r="D25" s="3">
        <v>1009942</v>
      </c>
      <c r="E25" s="40">
        <f t="shared" si="1"/>
        <v>435</v>
      </c>
      <c r="F25" s="41">
        <f t="shared" si="2"/>
        <v>1.1719999999999999</v>
      </c>
      <c r="G25" s="42">
        <f t="shared" si="3"/>
        <v>2721</v>
      </c>
      <c r="H25" s="33"/>
      <c r="I25" s="19"/>
      <c r="J25" s="19"/>
      <c r="K25" s="19"/>
      <c r="L25" s="19"/>
      <c r="M25" s="53"/>
    </row>
    <row r="26" spans="1:13">
      <c r="A26" s="21" t="s">
        <v>29</v>
      </c>
      <c r="B26" s="23">
        <f>B4+B13+B18+B22+B9</f>
        <v>41007</v>
      </c>
      <c r="C26" s="23">
        <f>C4+C13+C18+C22+C9</f>
        <v>261406.3</v>
      </c>
      <c r="D26" s="23">
        <f>D4+D13+D18+D22+D9</f>
        <v>20926079</v>
      </c>
      <c r="E26" s="37">
        <f t="shared" si="1"/>
        <v>510</v>
      </c>
      <c r="F26" s="38">
        <f t="shared" si="2"/>
        <v>1</v>
      </c>
      <c r="G26" s="39">
        <f t="shared" ref="G26:L26" si="6">G4+G13+G18+G22+G9</f>
        <v>43340</v>
      </c>
      <c r="H26" s="34">
        <f t="shared" si="6"/>
        <v>0</v>
      </c>
      <c r="I26" s="34">
        <f t="shared" si="6"/>
        <v>1500000</v>
      </c>
      <c r="J26" s="34">
        <f t="shared" si="6"/>
        <v>750000</v>
      </c>
      <c r="K26" s="34">
        <f t="shared" si="6"/>
        <v>749999.99000000011</v>
      </c>
      <c r="L26" s="34">
        <f t="shared" si="6"/>
        <v>2999999.9899999998</v>
      </c>
      <c r="M26" s="53">
        <f t="shared" ref="M23:M26" si="7">L26/B26</f>
        <v>73.158241032018921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Üldandmed</vt:lpstr>
      <vt:lpstr>Versioon 1</vt:lpstr>
      <vt:lpstr>Versioon 2</vt:lpstr>
      <vt:lpstr>Versioon 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2014-01-13T08:55:50Z</dcterms:modified>
  <cp:category/>
</cp:coreProperties>
</file>